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365"/>
  </bookViews>
  <sheets>
    <sheet name="Прайс Доришунос" sheetId="1" r:id="rId1"/>
    <sheet name="Наш Реквизиты" sheetId="3" r:id="rId2"/>
    <sheet name="Ожидаемые поступления" sheetId="2" r:id="rId3"/>
  </sheets>
  <calcPr calcId="124519" refMode="R1C1"/>
</workbook>
</file>

<file path=xl/calcChain.xml><?xml version="1.0" encoding="utf-8"?>
<calcChain xmlns="http://schemas.openxmlformats.org/spreadsheetml/2006/main">
  <c r="C2587" i="1"/>
  <c r="C2586"/>
  <c r="C2585"/>
  <c r="C2584"/>
  <c r="C2583"/>
  <c r="C2582"/>
  <c r="C2581"/>
  <c r="C2580"/>
  <c r="C2579"/>
  <c r="C2578"/>
  <c r="C2577"/>
  <c r="C2576"/>
  <c r="C2575"/>
  <c r="C2574"/>
  <c r="C2573"/>
  <c r="C2572"/>
  <c r="C2571"/>
  <c r="C2570"/>
  <c r="C2569"/>
  <c r="C2568"/>
  <c r="C2567"/>
  <c r="C2566"/>
  <c r="C2565"/>
  <c r="C2564"/>
  <c r="C2563"/>
  <c r="C2562"/>
  <c r="C2561"/>
  <c r="C2560"/>
  <c r="C2559"/>
  <c r="C2558"/>
  <c r="C2557"/>
  <c r="C2556"/>
  <c r="C2555"/>
  <c r="C2554"/>
  <c r="C2553"/>
  <c r="C2552"/>
  <c r="C2551"/>
  <c r="C2550"/>
  <c r="C2549"/>
  <c r="C2548"/>
  <c r="C2547"/>
  <c r="C2546"/>
  <c r="C2545"/>
  <c r="C2544"/>
  <c r="C2543"/>
  <c r="C2542"/>
  <c r="C2541"/>
  <c r="C2540"/>
  <c r="C2539"/>
  <c r="C2538"/>
  <c r="C2537"/>
  <c r="C2536"/>
  <c r="C2535"/>
  <c r="C2534"/>
  <c r="C2533"/>
  <c r="C2532"/>
  <c r="C2531"/>
  <c r="C2530"/>
  <c r="C2529"/>
  <c r="C2528"/>
  <c r="C2527"/>
  <c r="C2526"/>
  <c r="C2525"/>
  <c r="C2524"/>
  <c r="C2523"/>
  <c r="C2522"/>
  <c r="C2521"/>
  <c r="C2520"/>
  <c r="C2519"/>
  <c r="C2518"/>
  <c r="C2517"/>
  <c r="C2516"/>
  <c r="C2515"/>
  <c r="C2514"/>
  <c r="C2513"/>
  <c r="C2512"/>
  <c r="C2511"/>
  <c r="C2510"/>
  <c r="C2509"/>
  <c r="C2508"/>
  <c r="C2507"/>
  <c r="C2506"/>
  <c r="C2505"/>
  <c r="C2504"/>
  <c r="C2503"/>
  <c r="C2502"/>
  <c r="C2501"/>
  <c r="C2500"/>
  <c r="C2499"/>
  <c r="C2498"/>
  <c r="C2497"/>
  <c r="C2496"/>
  <c r="C2495"/>
  <c r="C2494"/>
  <c r="C2493"/>
  <c r="C2492"/>
  <c r="C2491"/>
  <c r="C2490"/>
  <c r="C2489"/>
  <c r="C2488"/>
  <c r="C2487"/>
  <c r="C2486"/>
  <c r="C2485"/>
  <c r="C2484"/>
  <c r="C2483"/>
  <c r="C2482"/>
  <c r="C2481"/>
  <c r="C2480"/>
  <c r="C2479"/>
  <c r="C2478"/>
  <c r="C2477"/>
  <c r="C2476"/>
  <c r="C2475"/>
  <c r="C2474"/>
  <c r="C2473"/>
  <c r="C2472"/>
  <c r="C2471"/>
  <c r="C2470"/>
  <c r="C2469"/>
  <c r="C2468"/>
  <c r="C2467"/>
  <c r="C2466"/>
  <c r="C2465"/>
  <c r="C2464"/>
  <c r="C2463"/>
  <c r="C2462"/>
  <c r="C2461"/>
  <c r="C2460"/>
  <c r="C2459"/>
  <c r="C2458"/>
  <c r="C2457"/>
  <c r="C2456"/>
  <c r="C2455"/>
  <c r="C2454"/>
  <c r="C2453"/>
  <c r="C2452"/>
  <c r="C2451"/>
  <c r="C2450"/>
  <c r="C2449"/>
  <c r="C2448"/>
  <c r="C2447"/>
  <c r="C2446"/>
  <c r="C2445"/>
  <c r="C2444"/>
  <c r="C2443"/>
  <c r="C2442"/>
  <c r="C2441"/>
  <c r="C2440"/>
  <c r="C2439"/>
  <c r="C2438"/>
  <c r="C2437"/>
  <c r="C2436"/>
  <c r="C2435"/>
  <c r="C2434"/>
  <c r="C2433"/>
  <c r="C2432"/>
  <c r="C2431"/>
  <c r="C2430"/>
  <c r="C2429"/>
  <c r="C2428"/>
  <c r="C2427"/>
  <c r="C2426"/>
  <c r="C2425"/>
  <c r="C2424"/>
  <c r="C2423"/>
  <c r="C2422"/>
  <c r="C2421"/>
  <c r="C2420"/>
  <c r="C2419"/>
  <c r="C2418"/>
  <c r="C2417"/>
  <c r="C2416"/>
  <c r="C2415"/>
  <c r="C2414"/>
  <c r="C2413"/>
  <c r="C2412"/>
  <c r="C2411"/>
  <c r="C2410"/>
  <c r="C2409"/>
  <c r="C2408"/>
  <c r="C2407"/>
  <c r="C2406"/>
  <c r="C2405"/>
  <c r="C2404"/>
  <c r="C2403"/>
  <c r="C2402"/>
  <c r="C2401"/>
  <c r="C2400"/>
  <c r="C2399"/>
  <c r="C2398"/>
  <c r="C2397"/>
  <c r="C2396"/>
  <c r="C2395"/>
  <c r="C2394"/>
  <c r="C2393"/>
  <c r="C2392"/>
  <c r="C2391"/>
  <c r="C2390"/>
  <c r="C2389"/>
  <c r="C2388"/>
  <c r="C2387"/>
  <c r="C2386"/>
  <c r="C2385"/>
  <c r="C2384"/>
  <c r="C2383"/>
  <c r="C2382"/>
  <c r="C2381"/>
  <c r="C2380"/>
  <c r="C2379"/>
  <c r="C2378"/>
  <c r="C2377"/>
  <c r="C2376"/>
  <c r="C2375"/>
  <c r="C2374"/>
  <c r="C2373"/>
  <c r="C2372"/>
  <c r="C2371"/>
  <c r="C2370"/>
  <c r="C2369"/>
  <c r="C2368"/>
  <c r="C2367"/>
  <c r="C2366"/>
  <c r="C2365"/>
  <c r="C2364"/>
  <c r="C2363"/>
  <c r="C2362"/>
  <c r="C2361"/>
  <c r="C2360"/>
  <c r="C2359"/>
  <c r="C2358"/>
  <c r="C2357"/>
  <c r="C2356"/>
  <c r="C2355"/>
  <c r="C2354"/>
  <c r="C2353"/>
  <c r="C2352"/>
  <c r="C2351"/>
  <c r="C2350"/>
  <c r="C2349"/>
  <c r="C2348"/>
  <c r="C2347"/>
  <c r="C2346"/>
  <c r="C2345"/>
  <c r="C2344"/>
  <c r="C2343"/>
  <c r="C2342"/>
  <c r="C2341"/>
  <c r="C2340"/>
  <c r="C2339"/>
  <c r="C2338"/>
  <c r="C2337"/>
  <c r="C2336"/>
  <c r="C2335"/>
  <c r="C2334"/>
  <c r="C2333"/>
  <c r="C2332"/>
  <c r="C2331"/>
  <c r="C2330"/>
  <c r="C2329"/>
  <c r="C2328"/>
  <c r="C2327"/>
  <c r="C2326"/>
  <c r="C2325"/>
  <c r="C2324"/>
  <c r="C2323"/>
  <c r="C2322"/>
  <c r="C2321"/>
  <c r="C2320"/>
  <c r="C2319"/>
  <c r="C2318"/>
  <c r="C2317"/>
  <c r="C2316"/>
  <c r="C2315"/>
  <c r="C2314"/>
  <c r="C2313"/>
  <c r="C2312"/>
  <c r="C2311"/>
  <c r="C2310"/>
  <c r="C2309"/>
  <c r="C2308"/>
  <c r="C2307"/>
  <c r="C2306"/>
  <c r="C2305"/>
  <c r="C2304"/>
  <c r="C2303"/>
  <c r="C2302"/>
  <c r="C2301"/>
  <c r="C2300"/>
  <c r="C2299"/>
  <c r="C2298"/>
  <c r="C2297"/>
  <c r="C2296"/>
  <c r="C2295"/>
  <c r="C2294"/>
  <c r="C2293"/>
  <c r="C2292"/>
  <c r="C2291"/>
  <c r="C2290"/>
  <c r="C2289"/>
  <c r="C2288"/>
  <c r="C2287"/>
  <c r="C2286"/>
  <c r="C2285"/>
  <c r="C2284"/>
  <c r="C2283"/>
  <c r="C2282"/>
  <c r="C2281"/>
  <c r="C2280"/>
  <c r="C2279"/>
  <c r="C2278"/>
  <c r="C2277"/>
  <c r="C2276"/>
  <c r="C2275"/>
  <c r="C2274"/>
  <c r="C2273"/>
  <c r="C2272"/>
  <c r="C2271"/>
  <c r="C2270"/>
  <c r="C2269"/>
  <c r="C2268"/>
  <c r="C2267"/>
  <c r="C2266"/>
  <c r="C2265"/>
  <c r="C2264"/>
  <c r="C2263"/>
  <c r="C2262"/>
  <c r="C2261"/>
  <c r="C2260"/>
  <c r="C2259"/>
  <c r="C2258"/>
  <c r="C2257"/>
  <c r="C2256"/>
  <c r="C2255"/>
  <c r="C2254"/>
  <c r="C2253"/>
  <c r="C2252"/>
  <c r="C2251"/>
  <c r="C2250"/>
  <c r="C2249"/>
  <c r="C2248"/>
  <c r="C2247"/>
  <c r="C2246"/>
  <c r="C2245"/>
  <c r="C2244"/>
  <c r="C2243"/>
  <c r="C2242"/>
  <c r="C2241"/>
  <c r="C2240"/>
  <c r="C2239"/>
  <c r="C2238"/>
  <c r="C2237"/>
  <c r="C2236"/>
  <c r="C2235"/>
  <c r="C2234"/>
  <c r="C2233"/>
  <c r="C2232"/>
  <c r="C2231"/>
  <c r="C2230"/>
  <c r="C2229"/>
  <c r="C2228"/>
  <c r="C2227"/>
  <c r="C2226"/>
  <c r="C2225"/>
  <c r="C2224"/>
  <c r="C2223"/>
  <c r="C2222"/>
  <c r="C2221"/>
  <c r="C2220"/>
  <c r="C2219"/>
  <c r="C2218"/>
  <c r="C2217"/>
  <c r="C2216"/>
  <c r="C2215"/>
  <c r="C2214"/>
  <c r="C2213"/>
  <c r="C2212"/>
  <c r="C2211"/>
  <c r="C2210"/>
  <c r="C2209"/>
  <c r="C2208"/>
  <c r="C2207"/>
  <c r="C2206"/>
  <c r="C2205"/>
  <c r="C2204"/>
  <c r="C2203"/>
  <c r="C2202"/>
  <c r="C2201"/>
  <c r="C2200"/>
  <c r="C2199"/>
  <c r="C2198"/>
  <c r="C2197"/>
  <c r="C2196"/>
  <c r="C2195"/>
  <c r="C2194"/>
  <c r="C2193"/>
  <c r="C2192"/>
  <c r="C2191"/>
  <c r="C2190"/>
  <c r="C2189"/>
  <c r="C2188"/>
  <c r="C2187"/>
  <c r="C2186"/>
  <c r="C2185"/>
  <c r="C2184"/>
  <c r="C2183"/>
  <c r="C2182"/>
  <c r="C2181"/>
  <c r="C2180"/>
  <c r="C2179"/>
  <c r="C2178"/>
  <c r="C2177"/>
  <c r="C2176"/>
  <c r="C2175"/>
  <c r="C2174"/>
  <c r="C2173"/>
  <c r="C2172"/>
  <c r="C2171"/>
  <c r="C2170"/>
  <c r="C2169"/>
  <c r="C2168"/>
  <c r="C2167"/>
  <c r="C2166"/>
  <c r="C2165"/>
  <c r="C2164"/>
  <c r="C2163"/>
  <c r="C2162"/>
  <c r="C2161"/>
  <c r="C2160"/>
  <c r="C2159"/>
  <c r="C2158"/>
  <c r="C2157"/>
  <c r="C2156"/>
  <c r="C2155"/>
  <c r="C2154"/>
  <c r="C2153"/>
  <c r="C2152"/>
  <c r="C2151"/>
  <c r="C2150"/>
  <c r="C2149"/>
  <c r="C2148"/>
  <c r="C2147"/>
  <c r="C2146"/>
  <c r="C2145"/>
  <c r="C2144"/>
  <c r="C2143"/>
  <c r="C2142"/>
  <c r="C2141"/>
  <c r="C2140"/>
  <c r="C2139"/>
  <c r="C2138"/>
  <c r="C2137"/>
  <c r="C2136"/>
  <c r="C2135"/>
  <c r="C2134"/>
  <c r="C2133"/>
  <c r="C2132"/>
  <c r="C2131"/>
  <c r="C2130"/>
  <c r="C2129"/>
  <c r="C2128"/>
  <c r="C2127"/>
  <c r="C2126"/>
  <c r="C2125"/>
  <c r="C2124"/>
  <c r="C2123"/>
  <c r="C2122"/>
  <c r="C2121"/>
  <c r="C2120"/>
  <c r="C2119"/>
  <c r="C2118"/>
  <c r="C2117"/>
  <c r="C2116"/>
  <c r="C2115"/>
  <c r="C2114"/>
  <c r="C2113"/>
  <c r="C2112"/>
  <c r="C2111"/>
  <c r="C2110"/>
  <c r="C2109"/>
  <c r="C2108"/>
  <c r="C2107"/>
  <c r="C2106"/>
  <c r="C2105"/>
  <c r="C2104"/>
  <c r="C2103"/>
  <c r="C2102"/>
  <c r="C2101"/>
  <c r="C2100"/>
  <c r="C2099"/>
  <c r="C2098"/>
  <c r="C2097"/>
  <c r="C2096"/>
  <c r="C2095"/>
  <c r="C2094"/>
  <c r="C2093"/>
  <c r="C2092"/>
  <c r="C2091"/>
  <c r="C2090"/>
  <c r="C2089"/>
  <c r="C2088"/>
  <c r="C2087"/>
  <c r="C2086"/>
  <c r="C2085"/>
  <c r="C2084"/>
  <c r="C2083"/>
  <c r="C2082"/>
  <c r="C2081"/>
  <c r="C2080"/>
  <c r="C2079"/>
  <c r="C2078"/>
  <c r="C2077"/>
  <c r="C2076"/>
  <c r="C2075"/>
  <c r="C2074"/>
  <c r="C2073"/>
  <c r="C2072"/>
  <c r="C2071"/>
  <c r="C2070"/>
  <c r="C2069"/>
  <c r="C2068"/>
  <c r="C2067"/>
  <c r="C2066"/>
  <c r="C2065"/>
  <c r="C2064"/>
  <c r="C2063"/>
  <c r="C2062"/>
  <c r="C2061"/>
  <c r="C2060"/>
  <c r="C2059"/>
  <c r="C2058"/>
  <c r="C2057"/>
  <c r="C2056"/>
  <c r="C2055"/>
  <c r="C2054"/>
  <c r="C2053"/>
  <c r="C2052"/>
  <c r="C2051"/>
  <c r="C2050"/>
  <c r="C2049"/>
  <c r="C2048"/>
  <c r="C2047"/>
  <c r="C2046"/>
  <c r="C2045"/>
  <c r="C2044"/>
  <c r="C2043"/>
  <c r="C2042"/>
  <c r="C2041"/>
  <c r="C2040"/>
  <c r="C2039"/>
  <c r="C2038"/>
  <c r="C2037"/>
  <c r="C2036"/>
  <c r="C2035"/>
  <c r="C2034"/>
  <c r="C2033"/>
  <c r="C2032"/>
  <c r="C2031"/>
  <c r="C2030"/>
  <c r="C2029"/>
  <c r="C2028"/>
  <c r="C2027"/>
  <c r="C2026"/>
  <c r="C2025"/>
  <c r="C2024"/>
  <c r="C2023"/>
  <c r="C2022"/>
  <c r="C2021"/>
  <c r="C2020"/>
  <c r="C2019"/>
  <c r="C2018"/>
  <c r="C2017"/>
  <c r="C2016"/>
  <c r="C2015"/>
  <c r="C2014"/>
  <c r="C2013"/>
  <c r="C2012"/>
  <c r="C2011"/>
  <c r="C2010"/>
  <c r="C2009"/>
  <c r="C2008"/>
  <c r="C2007"/>
  <c r="C2006"/>
  <c r="C2005"/>
  <c r="C2004"/>
  <c r="C2003"/>
  <c r="C2002"/>
  <c r="C2001"/>
  <c r="C2000"/>
  <c r="C1999"/>
  <c r="C1998"/>
  <c r="C1997"/>
  <c r="C1996"/>
  <c r="C1995"/>
  <c r="C1994"/>
  <c r="C1993"/>
  <c r="C1992"/>
  <c r="C1991"/>
  <c r="C1990"/>
  <c r="C1989"/>
  <c r="C1988"/>
  <c r="C1987"/>
  <c r="C1986"/>
  <c r="C1985"/>
  <c r="C1984"/>
  <c r="C1983"/>
  <c r="C1982"/>
  <c r="C1981"/>
  <c r="C1980"/>
  <c r="C1979"/>
  <c r="C1978"/>
  <c r="C1977"/>
  <c r="C1976"/>
  <c r="C1975"/>
  <c r="C1974"/>
  <c r="C1973"/>
  <c r="C1972"/>
  <c r="C1971"/>
  <c r="C1970"/>
  <c r="C1969"/>
  <c r="C1968"/>
  <c r="C1967"/>
  <c r="C1966"/>
  <c r="C1965"/>
  <c r="C1964"/>
  <c r="C1963"/>
  <c r="C1962"/>
  <c r="C1961"/>
  <c r="C1960"/>
  <c r="C1959"/>
  <c r="C1958"/>
  <c r="C1957"/>
  <c r="C1956"/>
  <c r="C1955"/>
  <c r="C1954"/>
  <c r="C1953"/>
  <c r="C1952"/>
  <c r="C1951"/>
  <c r="C1950"/>
  <c r="C1949"/>
  <c r="C1948"/>
  <c r="C1947"/>
  <c r="C1946"/>
  <c r="C1945"/>
  <c r="C1944"/>
  <c r="C1943"/>
  <c r="C1942"/>
  <c r="C1941"/>
  <c r="C1940"/>
  <c r="C1939"/>
  <c r="C1938"/>
  <c r="C1937"/>
  <c r="C1936"/>
  <c r="C1935"/>
  <c r="C1934"/>
  <c r="C1933"/>
  <c r="C1932"/>
  <c r="C1931"/>
  <c r="C1930"/>
  <c r="C1929"/>
  <c r="C1928"/>
  <c r="C1927"/>
  <c r="C1926"/>
  <c r="C1925"/>
  <c r="C1924"/>
  <c r="C1923"/>
  <c r="C1922"/>
  <c r="C1921"/>
  <c r="C1920"/>
  <c r="C1919"/>
  <c r="C1918"/>
  <c r="C1917"/>
  <c r="C1916"/>
  <c r="C1915"/>
  <c r="C1914"/>
  <c r="C1913"/>
  <c r="C1912"/>
  <c r="C1911"/>
  <c r="C1910"/>
  <c r="C1909"/>
  <c r="C1908"/>
  <c r="C1907"/>
  <c r="C1906"/>
  <c r="C1905"/>
  <c r="C1904"/>
  <c r="C1903"/>
  <c r="C1902"/>
  <c r="C1901"/>
  <c r="C1900"/>
  <c r="C1899"/>
  <c r="C1898"/>
  <c r="C1897"/>
  <c r="C1896"/>
  <c r="C1895"/>
  <c r="C1894"/>
  <c r="C1893"/>
  <c r="C1892"/>
  <c r="C1891"/>
  <c r="C1890"/>
  <c r="C1889"/>
  <c r="C1888"/>
  <c r="C1887"/>
  <c r="C1886"/>
  <c r="C1885"/>
  <c r="C1884"/>
  <c r="C1883"/>
  <c r="C1882"/>
  <c r="C1881"/>
  <c r="C1880"/>
  <c r="C1879"/>
  <c r="C1878"/>
  <c r="C1877"/>
  <c r="C1876"/>
  <c r="C1875"/>
  <c r="C1874"/>
  <c r="C1873"/>
  <c r="C1872"/>
  <c r="C1871"/>
  <c r="C1870"/>
  <c r="C1869"/>
  <c r="C1868"/>
  <c r="C1867"/>
  <c r="C1866"/>
  <c r="C1865"/>
  <c r="C1864"/>
  <c r="C1863"/>
  <c r="C1862"/>
  <c r="C1861"/>
  <c r="C1860"/>
  <c r="C1859"/>
  <c r="C1858"/>
  <c r="C1857"/>
  <c r="C1856"/>
  <c r="C1855"/>
  <c r="C1854"/>
  <c r="C1853"/>
  <c r="C1852"/>
  <c r="C1851"/>
  <c r="C1850"/>
  <c r="C1849"/>
  <c r="C1848"/>
  <c r="C1847"/>
  <c r="C1846"/>
  <c r="C1845"/>
  <c r="C1844"/>
  <c r="C1843"/>
  <c r="C1842"/>
  <c r="C1841"/>
  <c r="C1840"/>
  <c r="C1839"/>
  <c r="C1838"/>
  <c r="C1837"/>
  <c r="C1836"/>
  <c r="C1835"/>
  <c r="C1834"/>
  <c r="C1833"/>
  <c r="C1832"/>
  <c r="C1831"/>
  <c r="C1830"/>
  <c r="C1829"/>
  <c r="C1828"/>
  <c r="C1827"/>
  <c r="C1826"/>
  <c r="C1825"/>
  <c r="C1824"/>
  <c r="C1823"/>
  <c r="C1822"/>
  <c r="C1821"/>
  <c r="C1820"/>
  <c r="C1819"/>
  <c r="C1818"/>
  <c r="C1817"/>
  <c r="C1816"/>
  <c r="C1815"/>
  <c r="C1814"/>
  <c r="C1813"/>
  <c r="C1812"/>
  <c r="C1811"/>
  <c r="C1810"/>
  <c r="C1809"/>
  <c r="C1808"/>
  <c r="C1807"/>
  <c r="C1806"/>
  <c r="C1805"/>
  <c r="C1804"/>
  <c r="C1803"/>
  <c r="C1802"/>
  <c r="C1801"/>
  <c r="C1800"/>
  <c r="C1799"/>
  <c r="C1798"/>
  <c r="C1797"/>
  <c r="C1796"/>
  <c r="C1795"/>
  <c r="C1794"/>
  <c r="C1793"/>
  <c r="C1792"/>
  <c r="C1791"/>
  <c r="C1790"/>
  <c r="C1789"/>
  <c r="C1788"/>
  <c r="C1787"/>
  <c r="C1786"/>
  <c r="C1785"/>
  <c r="C1784"/>
  <c r="C1783"/>
  <c r="C1782"/>
  <c r="C1781"/>
  <c r="C1780"/>
  <c r="C1779"/>
  <c r="C1778"/>
  <c r="C1777"/>
  <c r="C1776"/>
  <c r="C1775"/>
  <c r="C1774"/>
  <c r="C1773"/>
  <c r="C1772"/>
  <c r="C1771"/>
  <c r="C1770"/>
  <c r="C1769"/>
  <c r="C1768"/>
  <c r="C1767"/>
  <c r="C1766"/>
  <c r="C1765"/>
  <c r="C1764"/>
  <c r="C1763"/>
  <c r="C1762"/>
  <c r="C1761"/>
  <c r="C1760"/>
  <c r="C1759"/>
  <c r="C1758"/>
  <c r="C1757"/>
  <c r="C1756"/>
  <c r="C1755"/>
  <c r="C1754"/>
  <c r="C1753"/>
  <c r="C1752"/>
  <c r="C1751"/>
  <c r="C1750"/>
  <c r="C1749"/>
  <c r="C1748"/>
  <c r="C1747"/>
  <c r="C1746"/>
  <c r="C1745"/>
  <c r="C1744"/>
  <c r="C1743"/>
  <c r="C1742"/>
  <c r="C1741"/>
  <c r="C1740"/>
  <c r="C1739"/>
  <c r="C1738"/>
  <c r="C1737"/>
  <c r="C1736"/>
  <c r="C1735"/>
  <c r="C1734"/>
  <c r="C1733"/>
  <c r="C1732"/>
  <c r="C1731"/>
  <c r="C1730"/>
  <c r="C1729"/>
  <c r="C1728"/>
  <c r="C1727"/>
  <c r="C1726"/>
  <c r="C1725"/>
  <c r="C1724"/>
  <c r="C1723"/>
  <c r="C1722"/>
  <c r="C1721"/>
  <c r="C1720"/>
  <c r="C1719"/>
  <c r="C1718"/>
  <c r="C1717"/>
  <c r="C1716"/>
  <c r="C1715"/>
  <c r="C1714"/>
  <c r="C1713"/>
  <c r="C1712"/>
  <c r="C1711"/>
  <c r="C1710"/>
  <c r="C1709"/>
  <c r="C1708"/>
  <c r="C1707"/>
  <c r="C1706"/>
  <c r="C1705"/>
  <c r="C1704"/>
  <c r="C1703"/>
  <c r="C1702"/>
  <c r="C1701"/>
  <c r="C1700"/>
  <c r="C1699"/>
  <c r="C1698"/>
  <c r="C1697"/>
  <c r="C1696"/>
  <c r="C1695"/>
  <c r="C1694"/>
  <c r="C1693"/>
  <c r="C1692"/>
  <c r="C1691"/>
  <c r="C1690"/>
  <c r="C1689"/>
  <c r="C1688"/>
  <c r="C1687"/>
  <c r="C1686"/>
  <c r="C1685"/>
  <c r="C1684"/>
  <c r="C1683"/>
  <c r="C1682"/>
  <c r="C1681"/>
  <c r="C1680"/>
  <c r="C1679"/>
  <c r="C1678"/>
  <c r="C1677"/>
  <c r="C1676"/>
  <c r="C1675"/>
  <c r="C1674"/>
  <c r="C1673"/>
  <c r="C1672"/>
  <c r="C1671"/>
  <c r="C1670"/>
  <c r="C1669"/>
  <c r="C1668"/>
  <c r="C1667"/>
  <c r="C1666"/>
  <c r="C1665"/>
  <c r="C1664"/>
  <c r="C1663"/>
  <c r="C1662"/>
  <c r="C1661"/>
  <c r="C1660"/>
  <c r="C1659"/>
  <c r="C1658"/>
  <c r="C1657"/>
  <c r="C1656"/>
  <c r="C1655"/>
  <c r="C1654"/>
  <c r="C1653"/>
  <c r="C1652"/>
  <c r="C1651"/>
  <c r="C1650"/>
  <c r="C1649"/>
  <c r="C1648"/>
  <c r="C1647"/>
  <c r="C1646"/>
  <c r="C1645"/>
  <c r="C1644"/>
  <c r="C1643"/>
  <c r="C1642"/>
  <c r="C1641"/>
  <c r="C1640"/>
  <c r="C1639"/>
  <c r="C1638"/>
  <c r="C1637"/>
  <c r="C1636"/>
  <c r="C1635"/>
  <c r="C1634"/>
  <c r="C1633"/>
  <c r="C1632"/>
  <c r="C1631"/>
  <c r="C1630"/>
  <c r="C1629"/>
  <c r="C1628"/>
  <c r="C1627"/>
  <c r="C1626"/>
  <c r="C1625"/>
  <c r="C1624"/>
  <c r="C1623"/>
  <c r="C1622"/>
  <c r="C1621"/>
  <c r="C1620"/>
  <c r="C1619"/>
  <c r="C1618"/>
  <c r="C1617"/>
  <c r="C1616"/>
  <c r="C1615"/>
  <c r="C1614"/>
  <c r="C1613"/>
  <c r="C1612"/>
  <c r="C1611"/>
  <c r="C1610"/>
  <c r="C1609"/>
  <c r="C1608"/>
  <c r="C1607"/>
  <c r="C1606"/>
  <c r="C1605"/>
  <c r="C1604"/>
  <c r="C1603"/>
  <c r="C1602"/>
  <c r="C1601"/>
  <c r="C1600"/>
  <c r="C1599"/>
  <c r="C1598"/>
  <c r="C1597"/>
  <c r="C1596"/>
  <c r="C1595"/>
  <c r="C1594"/>
  <c r="C1593"/>
  <c r="C1592"/>
  <c r="C1591"/>
  <c r="C1590"/>
  <c r="C1589"/>
  <c r="C1588"/>
  <c r="C1587"/>
  <c r="C1586"/>
  <c r="C1585"/>
  <c r="C1584"/>
  <c r="C1583"/>
  <c r="C1582"/>
  <c r="C1581"/>
  <c r="C1580"/>
  <c r="C1579"/>
  <c r="C1578"/>
  <c r="C1577"/>
  <c r="C1576"/>
  <c r="C1575"/>
  <c r="C1574"/>
  <c r="C1573"/>
  <c r="C1572"/>
  <c r="C1571"/>
  <c r="C1570"/>
  <c r="C1569"/>
  <c r="C1568"/>
  <c r="C1567"/>
  <c r="C1566"/>
  <c r="C1565"/>
  <c r="C1564"/>
  <c r="C1563"/>
  <c r="C1562"/>
  <c r="C1561"/>
  <c r="C1560"/>
  <c r="C1559"/>
  <c r="C1558"/>
  <c r="C1557"/>
  <c r="C1556"/>
  <c r="C1555"/>
  <c r="C1554"/>
  <c r="C1553"/>
  <c r="C1552"/>
  <c r="C1551"/>
  <c r="C1550"/>
  <c r="C1549"/>
  <c r="C1548"/>
  <c r="C1547"/>
  <c r="C1546"/>
  <c r="C1545"/>
  <c r="C1544"/>
  <c r="C1543"/>
  <c r="C1542"/>
  <c r="C1541"/>
  <c r="C1540"/>
  <c r="C1539"/>
  <c r="C1538"/>
  <c r="C1537"/>
  <c r="C1536"/>
  <c r="C1535"/>
  <c r="C1534"/>
  <c r="C1533"/>
  <c r="C1532"/>
  <c r="C1531"/>
  <c r="C1530"/>
  <c r="C1529"/>
  <c r="C1528"/>
  <c r="C1527"/>
  <c r="C1526"/>
  <c r="C1525"/>
  <c r="C1524"/>
  <c r="C1523"/>
  <c r="C1522"/>
  <c r="C1521"/>
  <c r="C1520"/>
  <c r="C1519"/>
  <c r="C1518"/>
  <c r="C1517"/>
  <c r="C1516"/>
  <c r="C1515"/>
  <c r="C1514"/>
  <c r="C1513"/>
  <c r="C1512"/>
  <c r="C1511"/>
  <c r="C1510"/>
  <c r="C1509"/>
  <c r="C1508"/>
  <c r="C1507"/>
  <c r="C1506"/>
  <c r="C1505"/>
  <c r="C1504"/>
  <c r="C1503"/>
  <c r="C1502"/>
  <c r="C1501"/>
  <c r="C1500"/>
  <c r="C1499"/>
  <c r="C1498"/>
  <c r="C1497"/>
  <c r="C1496"/>
  <c r="C1495"/>
  <c r="C1494"/>
  <c r="C1493"/>
  <c r="C1492"/>
  <c r="C1491"/>
  <c r="C1490"/>
  <c r="C1489"/>
  <c r="C1488"/>
  <c r="C1487"/>
  <c r="C1486"/>
  <c r="C1485"/>
  <c r="C1484"/>
  <c r="C1483"/>
  <c r="C1482"/>
  <c r="C1481"/>
  <c r="C1480"/>
  <c r="C1479"/>
  <c r="C1478"/>
  <c r="C1477"/>
  <c r="C1476"/>
  <c r="C1475"/>
  <c r="C1474"/>
  <c r="C1473"/>
  <c r="C1472"/>
  <c r="C1471"/>
  <c r="C1470"/>
  <c r="C1469"/>
  <c r="C1468"/>
  <c r="C1467"/>
  <c r="C1466"/>
  <c r="C1465"/>
  <c r="C1464"/>
  <c r="C1463"/>
  <c r="C1462"/>
  <c r="C1461"/>
  <c r="C1460"/>
  <c r="C1459"/>
  <c r="C1458"/>
  <c r="C1457"/>
  <c r="C1456"/>
  <c r="C1455"/>
  <c r="C1454"/>
  <c r="C1453"/>
  <c r="C1452"/>
  <c r="C1451"/>
  <c r="C1450"/>
  <c r="C1449"/>
  <c r="C1448"/>
  <c r="C1447"/>
  <c r="C1446"/>
  <c r="C1445"/>
  <c r="C1444"/>
  <c r="C1443"/>
  <c r="C1442"/>
  <c r="C1441"/>
  <c r="C1440"/>
  <c r="C1439"/>
  <c r="C1438"/>
  <c r="C1437"/>
  <c r="C1436"/>
  <c r="C1435"/>
  <c r="C1434"/>
  <c r="C1433"/>
  <c r="C1432"/>
  <c r="C1431"/>
  <c r="C1430"/>
  <c r="C1429"/>
  <c r="C1428"/>
  <c r="C1427"/>
  <c r="C1426"/>
  <c r="C1425"/>
  <c r="C1424"/>
  <c r="C1423"/>
  <c r="C1422"/>
  <c r="C1421"/>
  <c r="C1420"/>
  <c r="C1419"/>
  <c r="C1418"/>
  <c r="C1417"/>
  <c r="C1416"/>
  <c r="C1415"/>
  <c r="C1414"/>
  <c r="C1413"/>
  <c r="C1412"/>
  <c r="C1411"/>
  <c r="C1410"/>
  <c r="C1409"/>
  <c r="C1408"/>
  <c r="C1407"/>
  <c r="C1406"/>
  <c r="C1405"/>
  <c r="C1404"/>
  <c r="C1403"/>
  <c r="C1402"/>
  <c r="C1401"/>
  <c r="C1400"/>
  <c r="C1399"/>
  <c r="C1398"/>
  <c r="C1397"/>
  <c r="C1396"/>
  <c r="C1395"/>
  <c r="C1394"/>
  <c r="C1393"/>
  <c r="C1392"/>
  <c r="C1391"/>
  <c r="C1390"/>
  <c r="C1389"/>
  <c r="C1388"/>
  <c r="C1387"/>
  <c r="C1386"/>
  <c r="C1385"/>
  <c r="C1384"/>
  <c r="C1383"/>
  <c r="C1382"/>
  <c r="C1381"/>
  <c r="C1380"/>
  <c r="C1379"/>
  <c r="C1378"/>
  <c r="C1377"/>
  <c r="C1376"/>
  <c r="C1375"/>
  <c r="C1374"/>
  <c r="C1373"/>
  <c r="C1372"/>
  <c r="C1371"/>
  <c r="C1370"/>
  <c r="C1369"/>
  <c r="C1368"/>
  <c r="C1367"/>
  <c r="C1366"/>
  <c r="C1365"/>
  <c r="C1364"/>
  <c r="C1363"/>
  <c r="C1362"/>
  <c r="C1361"/>
  <c r="C1360"/>
  <c r="C1359"/>
  <c r="C1358"/>
  <c r="C1357"/>
  <c r="C1356"/>
  <c r="C1355"/>
  <c r="C1354"/>
  <c r="C1353"/>
  <c r="C1352"/>
  <c r="C1351"/>
  <c r="C1350"/>
  <c r="C1349"/>
  <c r="C1348"/>
  <c r="C1347"/>
  <c r="C1346"/>
  <c r="C1345"/>
  <c r="C1344"/>
  <c r="C1343"/>
  <c r="C1342"/>
  <c r="C1341"/>
  <c r="C1340"/>
  <c r="C1339"/>
  <c r="C1338"/>
  <c r="C1337"/>
  <c r="C1336"/>
  <c r="C1335"/>
  <c r="C1334"/>
  <c r="C1333"/>
  <c r="C1332"/>
  <c r="C1331"/>
  <c r="C1330"/>
  <c r="C1329"/>
  <c r="C1328"/>
  <c r="C1327"/>
  <c r="C1326"/>
  <c r="C1325"/>
  <c r="C1324"/>
  <c r="C1323"/>
  <c r="C1322"/>
  <c r="C1321"/>
  <c r="C1320"/>
  <c r="C1319"/>
  <c r="C1318"/>
  <c r="C1317"/>
  <c r="C1316"/>
  <c r="C1315"/>
  <c r="C1314"/>
  <c r="C1313"/>
  <c r="C1312"/>
  <c r="C1311"/>
  <c r="C1310"/>
  <c r="C1309"/>
  <c r="C1308"/>
  <c r="C1307"/>
  <c r="C1306"/>
  <c r="C1305"/>
  <c r="C1304"/>
  <c r="C1303"/>
  <c r="C1302"/>
  <c r="C1301"/>
  <c r="C1300"/>
  <c r="C1299"/>
  <c r="C1298"/>
  <c r="C1297"/>
  <c r="C1296"/>
  <c r="C1295"/>
  <c r="C1294"/>
  <c r="C1293"/>
  <c r="C1292"/>
  <c r="C1291"/>
  <c r="C1290"/>
  <c r="C1289"/>
  <c r="C1288"/>
  <c r="C1287"/>
  <c r="C1286"/>
  <c r="C1285"/>
  <c r="C1284"/>
  <c r="C1283"/>
  <c r="C1282"/>
  <c r="C1281"/>
  <c r="C1280"/>
  <c r="C1279"/>
  <c r="C1278"/>
  <c r="C1277"/>
  <c r="C1276"/>
  <c r="C1275"/>
  <c r="C1274"/>
  <c r="C1273"/>
  <c r="C1272"/>
  <c r="C1271"/>
  <c r="C1270"/>
  <c r="C1269"/>
  <c r="C1268"/>
  <c r="C1267"/>
  <c r="C1266"/>
  <c r="C1265"/>
  <c r="C1264"/>
  <c r="C1263"/>
  <c r="C1262"/>
  <c r="C1261"/>
  <c r="C1260"/>
  <c r="C1259"/>
  <c r="C1258"/>
  <c r="C1257"/>
  <c r="C1256"/>
  <c r="C1255"/>
  <c r="C1254"/>
  <c r="C1253"/>
  <c r="C1252"/>
  <c r="C1251"/>
  <c r="C1250"/>
  <c r="C1249"/>
  <c r="C1248"/>
  <c r="C1247"/>
  <c r="C1246"/>
  <c r="C1245"/>
  <c r="C1244"/>
  <c r="C1243"/>
  <c r="C1242"/>
  <c r="C1241"/>
  <c r="C1240"/>
  <c r="C1239"/>
  <c r="C1238"/>
  <c r="C1237"/>
  <c r="C1236"/>
  <c r="C1235"/>
  <c r="C1234"/>
  <c r="C1233"/>
  <c r="C1232"/>
  <c r="C1231"/>
  <c r="C1230"/>
  <c r="C1229"/>
  <c r="C1228"/>
  <c r="C1227"/>
  <c r="C1226"/>
  <c r="C1225"/>
  <c r="C1224"/>
  <c r="C1223"/>
  <c r="C1222"/>
  <c r="C1221"/>
  <c r="C1220"/>
  <c r="C1219"/>
  <c r="C1218"/>
  <c r="C1217"/>
  <c r="C1216"/>
  <c r="C1215"/>
  <c r="C1214"/>
  <c r="C1213"/>
  <c r="C1212"/>
  <c r="C1211"/>
  <c r="C1210"/>
  <c r="C1209"/>
  <c r="C1208"/>
  <c r="C1207"/>
  <c r="C1206"/>
  <c r="C1205"/>
  <c r="C1204"/>
  <c r="C1203"/>
  <c r="C1202"/>
  <c r="C1201"/>
  <c r="C1200"/>
  <c r="C1199"/>
  <c r="C1198"/>
  <c r="C1197"/>
  <c r="C1196"/>
  <c r="C1195"/>
  <c r="C1194"/>
  <c r="C1193"/>
  <c r="C1192"/>
  <c r="C1191"/>
  <c r="C1190"/>
  <c r="C1189"/>
  <c r="C1188"/>
  <c r="C1187"/>
  <c r="C1186"/>
  <c r="C1185"/>
  <c r="C1184"/>
  <c r="C1183"/>
  <c r="C1182"/>
  <c r="C1181"/>
  <c r="C1180"/>
  <c r="C1179"/>
  <c r="C1178"/>
  <c r="C1177"/>
  <c r="C1176"/>
  <c r="C1175"/>
  <c r="C1174"/>
  <c r="C1173"/>
  <c r="C1172"/>
  <c r="C1171"/>
  <c r="C1170"/>
  <c r="C1169"/>
  <c r="C1168"/>
  <c r="C1167"/>
  <c r="C1166"/>
  <c r="C1165"/>
  <c r="C1164"/>
  <c r="C1163"/>
  <c r="C1162"/>
  <c r="C1161"/>
  <c r="C1160"/>
  <c r="C1159"/>
  <c r="C1158"/>
  <c r="C1157"/>
  <c r="C1156"/>
  <c r="C1155"/>
  <c r="C1154"/>
  <c r="C1153"/>
  <c r="C1152"/>
  <c r="C1151"/>
  <c r="C1150"/>
  <c r="C1149"/>
  <c r="C1148"/>
  <c r="C1147"/>
  <c r="C1146"/>
  <c r="C1145"/>
  <c r="C1144"/>
  <c r="C1143"/>
  <c r="C1142"/>
  <c r="C1141"/>
  <c r="C1140"/>
  <c r="C1139"/>
  <c r="C1138"/>
  <c r="C1137"/>
  <c r="C1136"/>
  <c r="C1135"/>
  <c r="C1134"/>
  <c r="C1133"/>
  <c r="C1132"/>
  <c r="C1131"/>
  <c r="C1130"/>
  <c r="C1129"/>
  <c r="C1128"/>
  <c r="C1127"/>
  <c r="C1126"/>
  <c r="C1125"/>
  <c r="C1124"/>
  <c r="C1123"/>
  <c r="C1122"/>
  <c r="C1121"/>
  <c r="C1120"/>
  <c r="C1119"/>
  <c r="C1118"/>
  <c r="C1117"/>
  <c r="C1116"/>
  <c r="C1115"/>
  <c r="C1114"/>
  <c r="C1113"/>
  <c r="C1112"/>
  <c r="C1111"/>
  <c r="C1110"/>
  <c r="C1109"/>
  <c r="C1108"/>
  <c r="C1107"/>
  <c r="C1106"/>
  <c r="C1105"/>
  <c r="C1104"/>
  <c r="C1103"/>
  <c r="C1102"/>
  <c r="C1101"/>
  <c r="C1100"/>
  <c r="C1099"/>
  <c r="C1098"/>
  <c r="C1097"/>
  <c r="C1096"/>
  <c r="C1095"/>
  <c r="C1094"/>
  <c r="C1093"/>
  <c r="C1092"/>
  <c r="C1091"/>
  <c r="C1090"/>
  <c r="C1089"/>
  <c r="C1088"/>
  <c r="C1087"/>
  <c r="C1086"/>
  <c r="C1085"/>
  <c r="C1084"/>
  <c r="C1083"/>
  <c r="C1082"/>
  <c r="C1081"/>
  <c r="C1080"/>
  <c r="C1079"/>
  <c r="C1078"/>
  <c r="C1077"/>
  <c r="C1076"/>
  <c r="C1075"/>
  <c r="C1074"/>
  <c r="C1073"/>
  <c r="C1072"/>
  <c r="C1071"/>
  <c r="C1070"/>
  <c r="C1069"/>
  <c r="C1068"/>
  <c r="C1067"/>
  <c r="C1066"/>
  <c r="C1065"/>
  <c r="C1064"/>
  <c r="C1063"/>
  <c r="C1062"/>
  <c r="C1061"/>
  <c r="C1060"/>
  <c r="C1059"/>
  <c r="C1058"/>
  <c r="C1057"/>
  <c r="C1056"/>
  <c r="C1055"/>
  <c r="C1054"/>
  <c r="C1053"/>
  <c r="C1052"/>
  <c r="C1051"/>
  <c r="C1050"/>
  <c r="C1049"/>
  <c r="C1048"/>
  <c r="C1047"/>
  <c r="C1046"/>
  <c r="C1045"/>
  <c r="C1044"/>
  <c r="C1043"/>
  <c r="C1042"/>
  <c r="C1041"/>
  <c r="C1040"/>
  <c r="C1039"/>
  <c r="C1038"/>
  <c r="C1037"/>
  <c r="C1036"/>
  <c r="C1035"/>
  <c r="C1034"/>
  <c r="C1033"/>
  <c r="C1032"/>
  <c r="C1031"/>
  <c r="C1030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1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C820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1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9"/>
  <c r="C738"/>
  <c r="C737"/>
  <c r="C736"/>
  <c r="C735"/>
  <c r="C734"/>
  <c r="C733"/>
  <c r="C732"/>
  <c r="C731"/>
  <c r="C730"/>
  <c r="C729"/>
  <c r="C728"/>
  <c r="C727"/>
  <c r="C726"/>
  <c r="C725"/>
  <c r="C724"/>
  <c r="C723"/>
  <c r="C722"/>
  <c r="C721"/>
  <c r="C720"/>
  <c r="C719"/>
  <c r="C718"/>
  <c r="C717"/>
  <c r="C716"/>
  <c r="C715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9"/>
  <c r="C618"/>
  <c r="C617"/>
  <c r="C616"/>
  <c r="C615"/>
  <c r="C614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G2541"/>
  <c r="G2542"/>
  <c r="G2543"/>
  <c r="G2544"/>
  <c r="G2545"/>
  <c r="G2546"/>
  <c r="G2547"/>
  <c r="G2548"/>
  <c r="G2549"/>
  <c r="G2550"/>
  <c r="G2551"/>
  <c r="G2552"/>
  <c r="G2553"/>
  <c r="G2554"/>
  <c r="G2555"/>
  <c r="G2556"/>
  <c r="G2557"/>
  <c r="G2558"/>
  <c r="G2559"/>
  <c r="G2560"/>
  <c r="G2561"/>
  <c r="G2562"/>
  <c r="G2563"/>
  <c r="G2564"/>
  <c r="G2565"/>
  <c r="G2566"/>
  <c r="G2567"/>
  <c r="G2568"/>
  <c r="G2569"/>
  <c r="G2570"/>
  <c r="G2571"/>
  <c r="G2572"/>
  <c r="G2573"/>
  <c r="G2574"/>
  <c r="G2575"/>
  <c r="G2576"/>
  <c r="G2577"/>
  <c r="G2578"/>
  <c r="G2579"/>
  <c r="G2580"/>
  <c r="G2581"/>
  <c r="G2582"/>
  <c r="G2583"/>
  <c r="G2584"/>
  <c r="G2585"/>
  <c r="G2586"/>
  <c r="G2587"/>
  <c r="G2540"/>
  <c r="G1367"/>
  <c r="G1363"/>
  <c r="G1360"/>
  <c r="G1359"/>
  <c r="G1356"/>
  <c r="G1355"/>
  <c r="G1352"/>
  <c r="G1351"/>
  <c r="G1348"/>
  <c r="G1347"/>
  <c r="G1344"/>
  <c r="G1343"/>
  <c r="G1340"/>
  <c r="G1339"/>
  <c r="G1336"/>
  <c r="G1335"/>
  <c r="G1332"/>
  <c r="G1331"/>
  <c r="G1328"/>
  <c r="G1327"/>
  <c r="G1324"/>
  <c r="G1323"/>
  <c r="G1320"/>
  <c r="G1319"/>
  <c r="G1316"/>
  <c r="G1315"/>
  <c r="G1312"/>
  <c r="G1311"/>
  <c r="G1308"/>
  <c r="G1307"/>
  <c r="G1304"/>
  <c r="G1303"/>
  <c r="G1300"/>
  <c r="G1299"/>
  <c r="G1296"/>
  <c r="G1295"/>
  <c r="G1292"/>
  <c r="G1291"/>
  <c r="G1288"/>
  <c r="G1287"/>
  <c r="G1284"/>
  <c r="G1283"/>
  <c r="G1280"/>
  <c r="G1279"/>
  <c r="G1276"/>
  <c r="G1275"/>
  <c r="G1272"/>
  <c r="G1271"/>
  <c r="G1268"/>
  <c r="G1267"/>
  <c r="G1264"/>
  <c r="G1263"/>
  <c r="G1260"/>
  <c r="G1259"/>
  <c r="G1256"/>
  <c r="G1255"/>
  <c r="G1252"/>
  <c r="G1251"/>
  <c r="G1248"/>
  <c r="G1247"/>
  <c r="G1244"/>
  <c r="G1243"/>
  <c r="G1240"/>
  <c r="G1239"/>
  <c r="G1236"/>
  <c r="G1235"/>
  <c r="G1232"/>
  <c r="G1231"/>
  <c r="G1228"/>
  <c r="G1227"/>
  <c r="G1224"/>
  <c r="G1223"/>
  <c r="G1220"/>
  <c r="G1219"/>
  <c r="G1216"/>
  <c r="G1215"/>
  <c r="G1212"/>
  <c r="G1211"/>
  <c r="G1208"/>
  <c r="G1207"/>
  <c r="G1204"/>
  <c r="G1203"/>
  <c r="G1200"/>
  <c r="G1199"/>
  <c r="G1196"/>
  <c r="G1195"/>
  <c r="G1192"/>
  <c r="G1191"/>
  <c r="G1188"/>
  <c r="G1187"/>
  <c r="G1184"/>
  <c r="G1183"/>
  <c r="G1180"/>
  <c r="G1179"/>
  <c r="G1176"/>
  <c r="G1175"/>
  <c r="G1172"/>
  <c r="G1171"/>
  <c r="G1168"/>
  <c r="G1167"/>
  <c r="G1164"/>
  <c r="G1163"/>
  <c r="G1160"/>
  <c r="G1159"/>
  <c r="G1156"/>
  <c r="G1155"/>
  <c r="G1152"/>
  <c r="G1151"/>
  <c r="G1148"/>
  <c r="G1147"/>
  <c r="G1144"/>
  <c r="G1143"/>
  <c r="G1140"/>
  <c r="G1139"/>
  <c r="G1136"/>
  <c r="G1135"/>
  <c r="G1132"/>
  <c r="G1131"/>
  <c r="G1128"/>
  <c r="G1127"/>
  <c r="G1124"/>
  <c r="G1123"/>
  <c r="G1120"/>
  <c r="G1119"/>
  <c r="G1116"/>
  <c r="G1115"/>
  <c r="G1112"/>
  <c r="G1111"/>
  <c r="G1108"/>
  <c r="G1107"/>
  <c r="G1104"/>
  <c r="G1103"/>
  <c r="G1100"/>
  <c r="G1099"/>
  <c r="G1096"/>
  <c r="G1095"/>
  <c r="G1092"/>
  <c r="G1091"/>
  <c r="G1088"/>
  <c r="G1087"/>
  <c r="G1084"/>
  <c r="G1083"/>
  <c r="G1080"/>
  <c r="G1079"/>
  <c r="G1076"/>
  <c r="G1075"/>
  <c r="G1072"/>
  <c r="G1071"/>
  <c r="G1068"/>
  <c r="G1067"/>
  <c r="G1064"/>
  <c r="G1063"/>
  <c r="G1060"/>
  <c r="G1059"/>
  <c r="G1056"/>
  <c r="G1055"/>
  <c r="G1052"/>
  <c r="G1051"/>
  <c r="G1048"/>
  <c r="G1047"/>
  <c r="G1044"/>
  <c r="G1043"/>
  <c r="G1040"/>
  <c r="G1039"/>
  <c r="G1036"/>
  <c r="G1035"/>
  <c r="G1032"/>
  <c r="G1031"/>
  <c r="G1028"/>
  <c r="G1027"/>
  <c r="G1024"/>
  <c r="G1023"/>
  <c r="G1020"/>
  <c r="G1019"/>
  <c r="G1016"/>
  <c r="G1015"/>
  <c r="G1012"/>
  <c r="G1011"/>
  <c r="G1008"/>
  <c r="G1007"/>
  <c r="G1004"/>
  <c r="G1003"/>
  <c r="G1000"/>
  <c r="G999"/>
  <c r="G996"/>
  <c r="G995"/>
  <c r="G992"/>
  <c r="G991"/>
  <c r="G988"/>
  <c r="G987"/>
  <c r="G984"/>
  <c r="G983"/>
  <c r="G980"/>
  <c r="G979"/>
  <c r="G976"/>
  <c r="G975"/>
  <c r="G972"/>
  <c r="G971"/>
  <c r="G968"/>
  <c r="G967"/>
  <c r="G964"/>
  <c r="G963"/>
  <c r="G960"/>
  <c r="G959"/>
  <c r="G956"/>
  <c r="G955"/>
  <c r="G952"/>
  <c r="G951"/>
  <c r="G948"/>
  <c r="G947"/>
  <c r="G944"/>
  <c r="G943"/>
  <c r="G940"/>
  <c r="G939"/>
  <c r="G936"/>
  <c r="G935"/>
  <c r="G932"/>
  <c r="G931"/>
  <c r="G928"/>
  <c r="G927"/>
  <c r="G924"/>
  <c r="G923"/>
  <c r="G920"/>
  <c r="G919"/>
  <c r="G916"/>
  <c r="G915"/>
  <c r="G912"/>
  <c r="G911"/>
  <c r="G908"/>
  <c r="G907"/>
  <c r="G904"/>
  <c r="G903"/>
  <c r="G900"/>
  <c r="G899"/>
  <c r="G896"/>
  <c r="G895"/>
  <c r="G892"/>
  <c r="G891"/>
  <c r="G888"/>
  <c r="G887"/>
  <c r="G884"/>
  <c r="G883"/>
  <c r="G880"/>
  <c r="G879"/>
  <c r="G876"/>
  <c r="G875"/>
  <c r="G872"/>
  <c r="G871"/>
  <c r="G868"/>
  <c r="G867"/>
  <c r="G864"/>
  <c r="G863"/>
  <c r="G860"/>
  <c r="G859"/>
  <c r="G856"/>
  <c r="G855"/>
  <c r="G852"/>
  <c r="G851"/>
  <c r="G848"/>
  <c r="G847"/>
  <c r="G844"/>
  <c r="G843"/>
  <c r="G840"/>
  <c r="G839"/>
  <c r="G836"/>
  <c r="G835"/>
  <c r="G832"/>
  <c r="G831"/>
  <c r="G828"/>
  <c r="G827"/>
  <c r="G824"/>
  <c r="G823"/>
  <c r="G820"/>
  <c r="G819"/>
  <c r="G816"/>
  <c r="G815"/>
  <c r="G812"/>
  <c r="G811"/>
  <c r="G808"/>
  <c r="G807"/>
  <c r="G804"/>
  <c r="G803"/>
  <c r="G800"/>
  <c r="G799"/>
  <c r="G796"/>
  <c r="G795"/>
  <c r="G792"/>
  <c r="G791"/>
  <c r="G788"/>
  <c r="G787"/>
  <c r="G784"/>
  <c r="G783"/>
  <c r="G780"/>
  <c r="G779"/>
  <c r="G776"/>
  <c r="G775"/>
  <c r="G772"/>
  <c r="G771"/>
  <c r="G768"/>
  <c r="G767"/>
  <c r="G764"/>
  <c r="G763"/>
  <c r="G760"/>
  <c r="G759"/>
  <c r="G756"/>
  <c r="G755"/>
  <c r="G752"/>
  <c r="G751"/>
  <c r="G748"/>
  <c r="G747"/>
  <c r="G744"/>
  <c r="G743"/>
  <c r="G740"/>
  <c r="G739"/>
  <c r="G736"/>
  <c r="G735"/>
  <c r="G732"/>
  <c r="G731"/>
  <c r="G728"/>
  <c r="G727"/>
  <c r="G724"/>
  <c r="G723"/>
  <c r="G720"/>
  <c r="G719"/>
  <c r="G716"/>
  <c r="G715"/>
  <c r="G712"/>
  <c r="G711"/>
  <c r="G708"/>
  <c r="G707"/>
  <c r="G704"/>
  <c r="G703"/>
  <c r="G696"/>
  <c r="G695"/>
  <c r="G692"/>
  <c r="G691"/>
  <c r="G688"/>
  <c r="G687"/>
  <c r="G680"/>
  <c r="G679"/>
  <c r="G676"/>
  <c r="G675"/>
  <c r="G672"/>
  <c r="G671"/>
  <c r="G664"/>
  <c r="G663"/>
  <c r="G660"/>
  <c r="G659"/>
  <c r="G656"/>
  <c r="G655"/>
  <c r="G648"/>
  <c r="G647"/>
  <c r="G644"/>
  <c r="G643"/>
  <c r="G640"/>
  <c r="G639"/>
  <c r="G632"/>
  <c r="G631"/>
  <c r="G628"/>
  <c r="G627"/>
  <c r="G624"/>
  <c r="G623"/>
  <c r="G616"/>
  <c r="G615"/>
  <c r="G612"/>
  <c r="G611"/>
  <c r="G608"/>
  <c r="G607"/>
  <c r="G600"/>
  <c r="G599"/>
  <c r="G596"/>
  <c r="G595"/>
  <c r="G592"/>
  <c r="G591"/>
  <c r="G584"/>
  <c r="G583"/>
  <c r="G580"/>
  <c r="G579"/>
  <c r="G576"/>
  <c r="G575"/>
  <c r="G568"/>
  <c r="G567"/>
  <c r="G564"/>
  <c r="G563"/>
  <c r="G560"/>
  <c r="G559"/>
  <c r="G552"/>
  <c r="G551"/>
  <c r="G548"/>
  <c r="G547"/>
  <c r="G544"/>
  <c r="G543"/>
  <c r="G536"/>
  <c r="G535"/>
  <c r="G532"/>
  <c r="G531"/>
  <c r="G528"/>
  <c r="G527"/>
  <c r="G520"/>
  <c r="G519"/>
  <c r="G516"/>
  <c r="G515"/>
  <c r="G512"/>
  <c r="G511"/>
  <c r="G504"/>
  <c r="G503"/>
  <c r="G500"/>
  <c r="G499"/>
  <c r="G496"/>
  <c r="G495"/>
  <c r="G488"/>
  <c r="G487"/>
  <c r="G484"/>
  <c r="G483"/>
  <c r="G480"/>
  <c r="G479"/>
  <c r="G472"/>
  <c r="G471"/>
  <c r="G468"/>
  <c r="G467"/>
  <c r="G464"/>
  <c r="G463"/>
  <c r="G456"/>
  <c r="G455"/>
  <c r="G452"/>
  <c r="G451"/>
  <c r="G448"/>
  <c r="G447"/>
  <c r="G440"/>
  <c r="G439"/>
  <c r="G436"/>
  <c r="G435"/>
  <c r="G432"/>
  <c r="G431"/>
  <c r="G424"/>
  <c r="G423"/>
  <c r="G420"/>
  <c r="G419"/>
  <c r="G416"/>
  <c r="G415"/>
  <c r="G408"/>
  <c r="G407"/>
  <c r="G404"/>
  <c r="G403"/>
  <c r="G400"/>
  <c r="G399"/>
  <c r="G392"/>
  <c r="G391"/>
  <c r="G388"/>
  <c r="G387"/>
  <c r="G384"/>
  <c r="G383"/>
  <c r="G376"/>
  <c r="G375"/>
  <c r="G372"/>
  <c r="G371"/>
  <c r="G368"/>
  <c r="G367"/>
  <c r="G360"/>
  <c r="G359"/>
  <c r="G356"/>
  <c r="G355"/>
  <c r="G352"/>
  <c r="G351"/>
  <c r="G344"/>
  <c r="G343"/>
  <c r="G340"/>
  <c r="G339"/>
  <c r="G336"/>
  <c r="G335"/>
  <c r="G328"/>
  <c r="G327"/>
  <c r="G324"/>
  <c r="G323"/>
  <c r="G320"/>
  <c r="G319"/>
  <c r="G312"/>
  <c r="G311"/>
  <c r="G308"/>
  <c r="G307"/>
  <c r="G304"/>
  <c r="G303"/>
  <c r="G296"/>
  <c r="G295"/>
  <c r="G292"/>
  <c r="G291"/>
  <c r="G288"/>
  <c r="G287"/>
  <c r="G280"/>
  <c r="G279"/>
  <c r="G276"/>
  <c r="G275"/>
  <c r="G272"/>
  <c r="G271"/>
  <c r="G264"/>
  <c r="G263"/>
  <c r="G260"/>
  <c r="G259"/>
  <c r="G256"/>
  <c r="G255"/>
  <c r="G248"/>
  <c r="G247"/>
  <c r="G244"/>
  <c r="G243"/>
  <c r="G240"/>
  <c r="G239"/>
  <c r="G232"/>
  <c r="G231"/>
  <c r="G228"/>
  <c r="G227"/>
  <c r="G224"/>
  <c r="G223"/>
  <c r="G216"/>
  <c r="G215"/>
  <c r="G212"/>
  <c r="G211"/>
  <c r="G208"/>
  <c r="G207"/>
  <c r="G200"/>
  <c r="G199"/>
  <c r="G196"/>
  <c r="G195"/>
  <c r="G192"/>
  <c r="G191"/>
  <c r="G184"/>
  <c r="G183"/>
  <c r="G180"/>
  <c r="G179"/>
  <c r="G175"/>
  <c r="G172"/>
  <c r="G167"/>
  <c r="G164"/>
  <c r="G160"/>
  <c r="G159"/>
  <c r="G156"/>
  <c r="G155"/>
  <c r="G148"/>
  <c r="G147"/>
  <c r="G144"/>
  <c r="G143"/>
  <c r="G140"/>
  <c r="G139"/>
  <c r="G136"/>
  <c r="G135"/>
  <c r="G132"/>
  <c r="G131"/>
  <c r="G128"/>
  <c r="G127"/>
  <c r="G120"/>
  <c r="G119"/>
  <c r="G116"/>
  <c r="G115"/>
  <c r="G112"/>
  <c r="G111"/>
  <c r="G104"/>
  <c r="G103"/>
  <c r="G99"/>
  <c r="G96"/>
  <c r="G92"/>
  <c r="G91"/>
  <c r="G84"/>
  <c r="G83"/>
  <c r="G80"/>
  <c r="G79"/>
  <c r="G76"/>
  <c r="G75"/>
  <c r="G68"/>
  <c r="G67"/>
  <c r="G64"/>
  <c r="G63"/>
  <c r="G60"/>
  <c r="G59"/>
  <c r="G56"/>
  <c r="G55"/>
  <c r="G48"/>
  <c r="G47"/>
  <c r="G43"/>
  <c r="G40"/>
  <c r="G39"/>
  <c r="G36"/>
  <c r="G35"/>
  <c r="G32"/>
  <c r="G31"/>
  <c r="G24"/>
  <c r="G23"/>
  <c r="G20"/>
  <c r="G16"/>
  <c r="G15"/>
  <c r="G11"/>
  <c r="G8"/>
  <c r="G705"/>
  <c r="G701"/>
  <c r="G697"/>
  <c r="G693"/>
  <c r="G689"/>
  <c r="G685"/>
  <c r="G681"/>
  <c r="G677"/>
  <c r="G673"/>
  <c r="G669"/>
  <c r="G665"/>
  <c r="G661"/>
  <c r="G657"/>
  <c r="G653"/>
  <c r="G649"/>
  <c r="G645"/>
  <c r="G641"/>
  <c r="G637"/>
  <c r="G633"/>
  <c r="G630"/>
  <c r="G626"/>
  <c r="G622"/>
  <c r="G618"/>
  <c r="G614"/>
  <c r="G610"/>
  <c r="G606"/>
  <c r="G602"/>
  <c r="G598"/>
  <c r="G594"/>
  <c r="G590"/>
  <c r="G586"/>
  <c r="G582"/>
  <c r="G578"/>
  <c r="G574"/>
  <c r="G570"/>
  <c r="G566"/>
  <c r="G562"/>
  <c r="G558"/>
  <c r="G554"/>
  <c r="G550"/>
  <c r="G546"/>
  <c r="G542"/>
  <c r="G538"/>
  <c r="G534"/>
  <c r="G530"/>
  <c r="G526"/>
  <c r="G522"/>
  <c r="G518"/>
  <c r="G514"/>
  <c r="G510"/>
  <c r="G506"/>
  <c r="G502"/>
  <c r="G498"/>
  <c r="G494"/>
  <c r="G490"/>
  <c r="G486"/>
  <c r="G482"/>
  <c r="G478"/>
  <c r="G474"/>
  <c r="G470"/>
  <c r="G466"/>
  <c r="G462"/>
  <c r="G458"/>
  <c r="G454"/>
  <c r="G450"/>
  <c r="G446"/>
  <c r="G442"/>
  <c r="G438"/>
  <c r="G434"/>
  <c r="G430"/>
  <c r="G426"/>
  <c r="G422"/>
  <c r="G418"/>
  <c r="G414"/>
  <c r="G410"/>
  <c r="G406"/>
  <c r="G402"/>
  <c r="G398"/>
  <c r="G394"/>
  <c r="G390"/>
  <c r="G386"/>
  <c r="G382"/>
  <c r="G378"/>
  <c r="G374"/>
  <c r="G370"/>
  <c r="G366"/>
  <c r="G362"/>
  <c r="G358"/>
  <c r="G354"/>
  <c r="G350"/>
  <c r="G346"/>
  <c r="G342"/>
  <c r="G338"/>
  <c r="G334"/>
  <c r="G330"/>
  <c r="G326"/>
  <c r="G322"/>
  <c r="G318"/>
  <c r="G314"/>
  <c r="G310"/>
  <c r="G306"/>
  <c r="G302"/>
  <c r="G298"/>
  <c r="G294"/>
  <c r="G290"/>
  <c r="G286"/>
  <c r="G282"/>
  <c r="G278"/>
  <c r="G274"/>
  <c r="G270"/>
  <c r="G266"/>
  <c r="G262"/>
  <c r="G258"/>
  <c r="G254"/>
  <c r="G250"/>
  <c r="G246"/>
  <c r="G242"/>
  <c r="G238"/>
  <c r="G234"/>
  <c r="G230"/>
  <c r="G226"/>
  <c r="G222"/>
  <c r="G218"/>
  <c r="G214"/>
  <c r="G210"/>
  <c r="G206"/>
  <c r="G202"/>
  <c r="G198"/>
  <c r="G194"/>
  <c r="G190"/>
  <c r="G186"/>
  <c r="G185"/>
  <c r="G182"/>
  <c r="G178"/>
  <c r="G174"/>
  <c r="G170"/>
  <c r="G169"/>
  <c r="G166"/>
  <c r="G162"/>
  <c r="G158"/>
  <c r="G154"/>
  <c r="G153"/>
  <c r="G150"/>
  <c r="G146"/>
  <c r="G142"/>
  <c r="G138"/>
  <c r="G137"/>
  <c r="G134"/>
  <c r="G130"/>
  <c r="G126"/>
  <c r="G122"/>
  <c r="G121"/>
  <c r="G117"/>
  <c r="G110"/>
  <c r="G106"/>
  <c r="G102"/>
  <c r="G101"/>
  <c r="G97"/>
  <c r="G94"/>
  <c r="G90"/>
  <c r="G86"/>
  <c r="G82"/>
  <c r="G81"/>
  <c r="G78"/>
  <c r="G77"/>
  <c r="G74"/>
  <c r="G72"/>
  <c r="G70"/>
  <c r="G66"/>
  <c r="G62"/>
  <c r="G61"/>
  <c r="G58"/>
  <c r="G57"/>
  <c r="G54"/>
  <c r="G53"/>
  <c r="G50"/>
  <c r="G46"/>
  <c r="G42"/>
  <c r="G38"/>
  <c r="G33"/>
  <c r="G30"/>
  <c r="G29"/>
  <c r="G26"/>
  <c r="G25"/>
  <c r="G22"/>
  <c r="G18"/>
  <c r="G14"/>
  <c r="G13"/>
  <c r="G10"/>
  <c r="G98"/>
  <c r="G2539"/>
  <c r="G113"/>
  <c r="G109"/>
  <c r="G93"/>
  <c r="G85"/>
  <c r="G69"/>
  <c r="G65"/>
  <c r="G45"/>
  <c r="G37"/>
  <c r="G21"/>
  <c r="G17"/>
  <c r="G9"/>
  <c r="G7"/>
  <c r="G114"/>
  <c r="G118"/>
  <c r="G52"/>
  <c r="G44"/>
  <c r="G34"/>
  <c r="G28"/>
  <c r="G12"/>
  <c r="G2537"/>
  <c r="G2538"/>
  <c r="G19"/>
  <c r="G27"/>
  <c r="G41"/>
  <c r="G49"/>
  <c r="G51"/>
  <c r="G71"/>
  <c r="G73"/>
  <c r="G87"/>
  <c r="G88"/>
  <c r="G89"/>
  <c r="G95"/>
  <c r="G100"/>
  <c r="G105"/>
  <c r="G107"/>
  <c r="G108"/>
  <c r="G123"/>
  <c r="G124"/>
  <c r="G125"/>
  <c r="G129"/>
  <c r="G133"/>
  <c r="G141"/>
  <c r="G145"/>
  <c r="G149"/>
  <c r="G151"/>
  <c r="G152"/>
  <c r="G157"/>
  <c r="G161"/>
  <c r="G163"/>
  <c r="G165"/>
  <c r="G168"/>
  <c r="G171"/>
  <c r="G173"/>
  <c r="G176"/>
  <c r="G177"/>
  <c r="G181"/>
  <c r="G187"/>
  <c r="G188"/>
  <c r="G189"/>
  <c r="G193"/>
  <c r="G197"/>
  <c r="G201"/>
  <c r="G203"/>
  <c r="G204"/>
  <c r="G205"/>
  <c r="G209"/>
  <c r="G213"/>
  <c r="G217"/>
  <c r="G219"/>
  <c r="G220"/>
  <c r="G221"/>
  <c r="G225"/>
  <c r="G229"/>
  <c r="G233"/>
  <c r="G235"/>
  <c r="G236"/>
  <c r="G237"/>
  <c r="G241"/>
  <c r="G245"/>
  <c r="G249"/>
  <c r="G251"/>
  <c r="G252"/>
  <c r="G253"/>
  <c r="G257"/>
  <c r="G261"/>
  <c r="G265"/>
  <c r="G267"/>
  <c r="G268"/>
  <c r="G269"/>
  <c r="G273"/>
  <c r="G277"/>
  <c r="G281"/>
  <c r="G283"/>
  <c r="G284"/>
  <c r="G285"/>
  <c r="G289"/>
  <c r="G293"/>
  <c r="G297"/>
  <c r="G299"/>
  <c r="G300"/>
  <c r="G301"/>
  <c r="G305"/>
  <c r="G309"/>
  <c r="G313"/>
  <c r="G315"/>
  <c r="G316"/>
  <c r="G317"/>
  <c r="G321"/>
  <c r="G325"/>
  <c r="G329"/>
  <c r="G331"/>
  <c r="G332"/>
  <c r="G333"/>
  <c r="G337"/>
  <c r="G341"/>
  <c r="G345"/>
  <c r="G347"/>
  <c r="G348"/>
  <c r="G349"/>
  <c r="G353"/>
  <c r="G357"/>
  <c r="G361"/>
  <c r="G363"/>
  <c r="G364"/>
  <c r="G365"/>
  <c r="G369"/>
  <c r="G373"/>
  <c r="G377"/>
  <c r="G379"/>
  <c r="G380"/>
  <c r="G381"/>
  <c r="G385"/>
  <c r="G389"/>
  <c r="G393"/>
  <c r="G395"/>
  <c r="G396"/>
  <c r="G397"/>
  <c r="G401"/>
  <c r="G405"/>
  <c r="G409"/>
  <c r="G411"/>
  <c r="G412"/>
  <c r="G413"/>
  <c r="G417"/>
  <c r="G421"/>
  <c r="G425"/>
  <c r="G427"/>
  <c r="G428"/>
  <c r="G429"/>
  <c r="G433"/>
  <c r="G437"/>
  <c r="G441"/>
  <c r="G443"/>
  <c r="G444"/>
  <c r="G445"/>
  <c r="G449"/>
  <c r="G453"/>
  <c r="G457"/>
  <c r="G459"/>
  <c r="G460"/>
  <c r="G461"/>
  <c r="G465"/>
  <c r="G469"/>
  <c r="G473"/>
  <c r="G475"/>
  <c r="G476"/>
  <c r="G477"/>
  <c r="G481"/>
  <c r="G485"/>
  <c r="G489"/>
  <c r="G491"/>
  <c r="G492"/>
  <c r="G493"/>
  <c r="G497"/>
  <c r="G501"/>
  <c r="G505"/>
  <c r="G507"/>
  <c r="G508"/>
  <c r="G509"/>
  <c r="G513"/>
  <c r="G517"/>
  <c r="G521"/>
  <c r="G523"/>
  <c r="G524"/>
  <c r="G525"/>
  <c r="G529"/>
  <c r="G533"/>
  <c r="G537"/>
  <c r="G539"/>
  <c r="G540"/>
  <c r="G541"/>
  <c r="G545"/>
  <c r="G549"/>
  <c r="G553"/>
  <c r="G555"/>
  <c r="G556"/>
  <c r="G557"/>
  <c r="G561"/>
  <c r="G565"/>
  <c r="G569"/>
  <c r="G571"/>
  <c r="G572"/>
  <c r="G573"/>
  <c r="G577"/>
  <c r="G581"/>
  <c r="G585"/>
  <c r="G587"/>
  <c r="G588"/>
  <c r="G589"/>
  <c r="G593"/>
  <c r="G597"/>
  <c r="G601"/>
  <c r="G603"/>
  <c r="G604"/>
  <c r="G605"/>
  <c r="G609"/>
  <c r="G613"/>
  <c r="G617"/>
  <c r="G619"/>
  <c r="G620"/>
  <c r="G621"/>
  <c r="G625"/>
  <c r="G629"/>
  <c r="G634"/>
  <c r="G635"/>
  <c r="G636"/>
  <c r="G638"/>
  <c r="G642"/>
  <c r="G646"/>
  <c r="G650"/>
  <c r="G651"/>
  <c r="G652"/>
  <c r="G654"/>
  <c r="G658"/>
  <c r="G662"/>
  <c r="G666"/>
  <c r="G667"/>
  <c r="G668"/>
  <c r="G670"/>
  <c r="G674"/>
  <c r="G678"/>
  <c r="G682"/>
  <c r="G683"/>
  <c r="G684"/>
  <c r="G686"/>
  <c r="G690"/>
  <c r="G694"/>
  <c r="G698"/>
  <c r="G699"/>
  <c r="G700"/>
  <c r="G702"/>
  <c r="G706"/>
  <c r="G709"/>
  <c r="G710"/>
  <c r="G713"/>
  <c r="G714"/>
  <c r="G717"/>
  <c r="G718"/>
  <c r="G721"/>
  <c r="G722"/>
  <c r="G725"/>
  <c r="G726"/>
  <c r="G729"/>
  <c r="G730"/>
  <c r="G733"/>
  <c r="G734"/>
  <c r="G737"/>
  <c r="G738"/>
  <c r="G741"/>
  <c r="G742"/>
  <c r="G745"/>
  <c r="G746"/>
  <c r="G749"/>
  <c r="G750"/>
  <c r="G753"/>
  <c r="G754"/>
  <c r="G757"/>
  <c r="G758"/>
  <c r="G761"/>
  <c r="G762"/>
  <c r="G765"/>
  <c r="G766"/>
  <c r="G769"/>
  <c r="G770"/>
  <c r="G773"/>
  <c r="G774"/>
  <c r="G777"/>
  <c r="G778"/>
  <c r="G781"/>
  <c r="G782"/>
  <c r="G785"/>
  <c r="G786"/>
  <c r="G789"/>
  <c r="G790"/>
  <c r="G793"/>
  <c r="G794"/>
  <c r="G797"/>
  <c r="G798"/>
  <c r="G801"/>
  <c r="G802"/>
  <c r="G805"/>
  <c r="G806"/>
  <c r="G809"/>
  <c r="G810"/>
  <c r="G813"/>
  <c r="G814"/>
  <c r="G817"/>
  <c r="G818"/>
  <c r="G821"/>
  <c r="G822"/>
  <c r="G825"/>
  <c r="G826"/>
  <c r="G829"/>
  <c r="G830"/>
  <c r="G833"/>
  <c r="G834"/>
  <c r="G837"/>
  <c r="G838"/>
  <c r="G841"/>
  <c r="G842"/>
  <c r="G845"/>
  <c r="G846"/>
  <c r="G849"/>
  <c r="G850"/>
  <c r="G853"/>
  <c r="G854"/>
  <c r="G857"/>
  <c r="G858"/>
  <c r="G861"/>
  <c r="G862"/>
  <c r="G865"/>
  <c r="G866"/>
  <c r="G869"/>
  <c r="G870"/>
  <c r="G873"/>
  <c r="G874"/>
  <c r="G877"/>
  <c r="G878"/>
  <c r="G881"/>
  <c r="G882"/>
  <c r="G885"/>
  <c r="G886"/>
  <c r="G889"/>
  <c r="G890"/>
  <c r="G893"/>
  <c r="G894"/>
  <c r="G897"/>
  <c r="G898"/>
  <c r="G901"/>
  <c r="G902"/>
  <c r="G905"/>
  <c r="G906"/>
  <c r="G909"/>
  <c r="G910"/>
  <c r="G913"/>
  <c r="G914"/>
  <c r="G917"/>
  <c r="G918"/>
  <c r="G921"/>
  <c r="G922"/>
  <c r="G925"/>
  <c r="G926"/>
  <c r="G929"/>
  <c r="G930"/>
  <c r="G933"/>
  <c r="G934"/>
  <c r="G937"/>
  <c r="G938"/>
  <c r="G941"/>
  <c r="G942"/>
  <c r="G945"/>
  <c r="G946"/>
  <c r="G949"/>
  <c r="G950"/>
  <c r="G953"/>
  <c r="G954"/>
  <c r="G957"/>
  <c r="G958"/>
  <c r="G961"/>
  <c r="G962"/>
  <c r="G965"/>
  <c r="G966"/>
  <c r="G969"/>
  <c r="G970"/>
  <c r="G973"/>
  <c r="G974"/>
  <c r="G977"/>
  <c r="G978"/>
  <c r="G981"/>
  <c r="G982"/>
  <c r="G985"/>
  <c r="G986"/>
  <c r="G989"/>
  <c r="G990"/>
  <c r="G993"/>
  <c r="G994"/>
  <c r="G997"/>
  <c r="G998"/>
  <c r="G1001"/>
  <c r="G1002"/>
  <c r="G1005"/>
  <c r="G1006"/>
  <c r="G1009"/>
  <c r="G1010"/>
  <c r="G1013"/>
  <c r="G1014"/>
  <c r="G1017"/>
  <c r="G1018"/>
  <c r="G1021"/>
  <c r="G1022"/>
  <c r="G1025"/>
  <c r="G1026"/>
  <c r="G1029"/>
  <c r="G1030"/>
  <c r="G1033"/>
  <c r="G1034"/>
  <c r="G1037"/>
  <c r="G1038"/>
  <c r="G1041"/>
  <c r="G1042"/>
  <c r="G1045"/>
  <c r="G1046"/>
  <c r="G1049"/>
  <c r="G1050"/>
  <c r="G1053"/>
  <c r="G1054"/>
  <c r="G1057"/>
  <c r="G1058"/>
  <c r="G1061"/>
  <c r="G1062"/>
  <c r="G1065"/>
  <c r="G1066"/>
  <c r="G1069"/>
  <c r="G1070"/>
  <c r="G1073"/>
  <c r="G1074"/>
  <c r="G1077"/>
  <c r="G1078"/>
  <c r="G1081"/>
  <c r="G1082"/>
  <c r="G1085"/>
  <c r="G1086"/>
  <c r="G1089"/>
  <c r="G1090"/>
  <c r="G1093"/>
  <c r="G1094"/>
  <c r="G1097"/>
  <c r="G1098"/>
  <c r="G1101"/>
  <c r="G1102"/>
  <c r="G1105"/>
  <c r="G1106"/>
  <c r="G1109"/>
  <c r="G1110"/>
  <c r="G1113"/>
  <c r="G1114"/>
  <c r="G1117"/>
  <c r="G1118"/>
  <c r="G1121"/>
  <c r="G1122"/>
  <c r="G1125"/>
  <c r="G1126"/>
  <c r="G1129"/>
  <c r="G1130"/>
  <c r="G1133"/>
  <c r="G1134"/>
  <c r="G1137"/>
  <c r="G1138"/>
  <c r="G1141"/>
  <c r="G1142"/>
  <c r="G1145"/>
  <c r="G1146"/>
  <c r="G1149"/>
  <c r="G1150"/>
  <c r="G1153"/>
  <c r="G1154"/>
  <c r="G1157"/>
  <c r="G1158"/>
  <c r="G1161"/>
  <c r="G1162"/>
  <c r="G1165"/>
  <c r="G1166"/>
  <c r="G1169"/>
  <c r="G1170"/>
  <c r="G1173"/>
  <c r="G1174"/>
  <c r="G1177"/>
  <c r="G1178"/>
  <c r="G1181"/>
  <c r="G1182"/>
  <c r="G1185"/>
  <c r="G1186"/>
  <c r="G1189"/>
  <c r="G1190"/>
  <c r="G1193"/>
  <c r="G1194"/>
  <c r="G1197"/>
  <c r="G1198"/>
  <c r="G1201"/>
  <c r="G1202"/>
  <c r="G1205"/>
  <c r="G1206"/>
  <c r="G1209"/>
  <c r="G1210"/>
  <c r="G1213"/>
  <c r="G1214"/>
  <c r="G1217"/>
  <c r="G1218"/>
  <c r="G1221"/>
  <c r="G1222"/>
  <c r="G1225"/>
  <c r="G1226"/>
  <c r="G1229"/>
  <c r="G1230"/>
  <c r="G1233"/>
  <c r="G1234"/>
  <c r="G1237"/>
  <c r="G1238"/>
  <c r="G1241"/>
  <c r="G1242"/>
  <c r="G1245"/>
  <c r="G1246"/>
  <c r="G1249"/>
  <c r="G1250"/>
  <c r="G1253"/>
  <c r="G1254"/>
  <c r="G1257"/>
  <c r="G1258"/>
  <c r="G1261"/>
  <c r="G1262"/>
  <c r="G1265"/>
  <c r="G1266"/>
  <c r="G1269"/>
  <c r="G1270"/>
  <c r="G1273"/>
  <c r="G1274"/>
  <c r="G1277"/>
  <c r="G1278"/>
  <c r="G1281"/>
  <c r="G1282"/>
  <c r="G1285"/>
  <c r="G1286"/>
  <c r="G1289"/>
  <c r="G1290"/>
  <c r="G1293"/>
  <c r="G1294"/>
  <c r="G1297"/>
  <c r="G1298"/>
  <c r="G1301"/>
  <c r="G1302"/>
  <c r="G1305"/>
  <c r="G1306"/>
  <c r="G1309"/>
  <c r="G1310"/>
  <c r="G1313"/>
  <c r="G1314"/>
  <c r="G1317"/>
  <c r="G1318"/>
  <c r="G1321"/>
  <c r="G1322"/>
  <c r="G1325"/>
  <c r="G1326"/>
  <c r="G1329"/>
  <c r="G1330"/>
  <c r="G1333"/>
  <c r="G1334"/>
  <c r="G1337"/>
  <c r="G1338"/>
  <c r="G1341"/>
  <c r="G1342"/>
  <c r="G1345"/>
  <c r="G1346"/>
  <c r="G1349"/>
  <c r="G1350"/>
  <c r="G1353"/>
  <c r="G1354"/>
  <c r="G1357"/>
  <c r="G1358"/>
  <c r="G1361"/>
  <c r="G1362"/>
  <c r="G1364"/>
  <c r="G1365"/>
  <c r="G1366"/>
  <c r="G1368"/>
  <c r="G1369"/>
  <c r="G1370"/>
  <c r="G1371"/>
  <c r="G1372"/>
  <c r="G1373"/>
  <c r="G1374"/>
  <c r="G1375"/>
  <c r="G1376"/>
  <c r="G1377"/>
  <c r="G1378"/>
  <c r="G1379"/>
  <c r="G1380"/>
  <c r="G1381"/>
  <c r="G1382"/>
  <c r="G1383"/>
  <c r="G1384"/>
  <c r="G1385"/>
  <c r="G1386"/>
  <c r="G1387"/>
  <c r="G1388"/>
  <c r="G1389"/>
  <c r="G1390"/>
  <c r="G1391"/>
  <c r="G1392"/>
  <c r="G1393"/>
  <c r="G1394"/>
  <c r="G1395"/>
  <c r="G1396"/>
  <c r="G1397"/>
  <c r="G1398"/>
  <c r="G1399"/>
  <c r="G1400"/>
  <c r="G1401"/>
  <c r="G1402"/>
  <c r="G1403"/>
  <c r="G1404"/>
  <c r="G1405"/>
  <c r="G1406"/>
  <c r="G1407"/>
  <c r="G1408"/>
  <c r="G1409"/>
  <c r="G1410"/>
  <c r="G1411"/>
  <c r="G1412"/>
  <c r="G1413"/>
  <c r="G1414"/>
  <c r="G1415"/>
  <c r="G1416"/>
  <c r="G1417"/>
  <c r="G1418"/>
  <c r="G1419"/>
  <c r="G1420"/>
  <c r="G1421"/>
  <c r="G1422"/>
  <c r="G1423"/>
  <c r="G1424"/>
  <c r="G1425"/>
  <c r="G1426"/>
  <c r="G1427"/>
  <c r="G1428"/>
  <c r="G1429"/>
  <c r="G1430"/>
  <c r="G1431"/>
  <c r="G1432"/>
  <c r="G1433"/>
  <c r="G1434"/>
  <c r="G1435"/>
  <c r="G1436"/>
  <c r="G1437"/>
  <c r="G1438"/>
  <c r="G1439"/>
  <c r="G1440"/>
  <c r="G1441"/>
  <c r="G1442"/>
  <c r="G1443"/>
  <c r="G1444"/>
  <c r="G1445"/>
  <c r="G1446"/>
  <c r="G1447"/>
  <c r="G1448"/>
  <c r="G1449"/>
  <c r="G1450"/>
  <c r="G1451"/>
  <c r="G1452"/>
  <c r="G1453"/>
  <c r="G1454"/>
  <c r="G1455"/>
  <c r="G1456"/>
  <c r="G1457"/>
  <c r="G1458"/>
  <c r="G1459"/>
  <c r="G1460"/>
  <c r="G1461"/>
  <c r="G1462"/>
  <c r="G1463"/>
  <c r="G1464"/>
  <c r="G1465"/>
  <c r="G1466"/>
  <c r="G1467"/>
  <c r="G1468"/>
  <c r="G1469"/>
  <c r="G1470"/>
  <c r="G1471"/>
  <c r="G1472"/>
  <c r="G1473"/>
  <c r="G1474"/>
  <c r="G1475"/>
  <c r="G1476"/>
  <c r="G1477"/>
  <c r="G1478"/>
  <c r="G1479"/>
  <c r="G1480"/>
  <c r="G1481"/>
  <c r="G1482"/>
  <c r="G1483"/>
  <c r="G1484"/>
  <c r="G1485"/>
  <c r="G1486"/>
  <c r="G1487"/>
  <c r="G1488"/>
  <c r="G1489"/>
  <c r="G1490"/>
  <c r="G1491"/>
  <c r="G1492"/>
  <c r="G1493"/>
  <c r="G1494"/>
  <c r="G1495"/>
  <c r="G1496"/>
  <c r="G1497"/>
  <c r="G1498"/>
  <c r="G1499"/>
  <c r="G1500"/>
  <c r="G1501"/>
  <c r="G1502"/>
  <c r="G1503"/>
  <c r="G1504"/>
  <c r="G1505"/>
  <c r="G1506"/>
  <c r="G1507"/>
  <c r="G1508"/>
  <c r="G1509"/>
  <c r="G1510"/>
  <c r="G1511"/>
  <c r="G1512"/>
  <c r="G1513"/>
  <c r="G1514"/>
  <c r="G1515"/>
  <c r="G1516"/>
  <c r="G1517"/>
  <c r="G1518"/>
  <c r="G1519"/>
  <c r="G1520"/>
  <c r="G1521"/>
  <c r="G1522"/>
  <c r="G1523"/>
  <c r="G1524"/>
  <c r="G1525"/>
  <c r="G1526"/>
  <c r="G1527"/>
  <c r="G1528"/>
  <c r="G1529"/>
  <c r="G1530"/>
  <c r="G1531"/>
  <c r="G1532"/>
  <c r="G1533"/>
  <c r="G1534"/>
  <c r="G1535"/>
  <c r="G1536"/>
  <c r="G1537"/>
  <c r="G1538"/>
  <c r="G1539"/>
  <c r="G1540"/>
  <c r="G1541"/>
  <c r="G1542"/>
  <c r="G1543"/>
  <c r="G1544"/>
  <c r="G1545"/>
  <c r="G1546"/>
  <c r="G1547"/>
  <c r="G1548"/>
  <c r="G1549"/>
  <c r="G1550"/>
  <c r="G1551"/>
  <c r="G1552"/>
  <c r="G1553"/>
  <c r="G1554"/>
  <c r="G1555"/>
  <c r="G1556"/>
  <c r="G1557"/>
  <c r="G1558"/>
  <c r="G1559"/>
  <c r="G1560"/>
  <c r="G1561"/>
  <c r="G1562"/>
  <c r="G1563"/>
  <c r="G1564"/>
  <c r="G1565"/>
  <c r="G1566"/>
  <c r="G1567"/>
  <c r="G1568"/>
  <c r="G1569"/>
  <c r="G1570"/>
  <c r="G1571"/>
  <c r="G1572"/>
  <c r="G1573"/>
  <c r="G1574"/>
  <c r="G1575"/>
  <c r="G1576"/>
  <c r="G1577"/>
  <c r="G1578"/>
  <c r="G1579"/>
  <c r="G1580"/>
  <c r="G1581"/>
  <c r="G1582"/>
  <c r="G1583"/>
  <c r="G1584"/>
  <c r="G1585"/>
  <c r="G1586"/>
  <c r="G1587"/>
  <c r="G1588"/>
  <c r="G1589"/>
  <c r="G1590"/>
  <c r="G1591"/>
  <c r="G1592"/>
  <c r="G1593"/>
  <c r="G1594"/>
  <c r="G1595"/>
  <c r="G1596"/>
  <c r="G1597"/>
  <c r="G1598"/>
  <c r="G1599"/>
  <c r="G1600"/>
  <c r="G1601"/>
  <c r="G1602"/>
  <c r="G1603"/>
  <c r="G1604"/>
  <c r="G1605"/>
  <c r="G1606"/>
  <c r="G1607"/>
  <c r="G1608"/>
  <c r="G1609"/>
  <c r="G1610"/>
  <c r="G1611"/>
  <c r="G1612"/>
  <c r="G1613"/>
  <c r="G1614"/>
  <c r="G1615"/>
  <c r="G1616"/>
  <c r="G1617"/>
  <c r="G1618"/>
  <c r="G1619"/>
  <c r="G1620"/>
  <c r="G1621"/>
  <c r="G1622"/>
  <c r="G1623"/>
  <c r="G1624"/>
  <c r="G1625"/>
  <c r="G1626"/>
  <c r="G1627"/>
  <c r="G1628"/>
  <c r="G1629"/>
  <c r="G1630"/>
  <c r="G1631"/>
  <c r="G1632"/>
  <c r="G1633"/>
  <c r="G1634"/>
  <c r="G1635"/>
  <c r="G1636"/>
  <c r="G1637"/>
  <c r="G1638"/>
  <c r="G1639"/>
  <c r="G1640"/>
  <c r="G1641"/>
  <c r="G1642"/>
  <c r="G1643"/>
  <c r="G1644"/>
  <c r="G1645"/>
  <c r="G1646"/>
  <c r="G1647"/>
  <c r="G1648"/>
  <c r="G1649"/>
  <c r="G1650"/>
  <c r="G1651"/>
  <c r="G1652"/>
  <c r="G1653"/>
  <c r="G1654"/>
  <c r="G1655"/>
  <c r="G1656"/>
  <c r="G1657"/>
  <c r="G1658"/>
  <c r="G1659"/>
  <c r="G1660"/>
  <c r="G1661"/>
  <c r="G1662"/>
  <c r="G1663"/>
  <c r="G1664"/>
  <c r="G1665"/>
  <c r="G1666"/>
  <c r="G1667"/>
  <c r="G1668"/>
  <c r="G1669"/>
  <c r="G1670"/>
  <c r="G1671"/>
  <c r="G1672"/>
  <c r="G1673"/>
  <c r="G1674"/>
  <c r="G1675"/>
  <c r="G1676"/>
  <c r="G1677"/>
  <c r="G1678"/>
  <c r="G1679"/>
  <c r="G1680"/>
  <c r="G1681"/>
  <c r="G1682"/>
  <c r="G1683"/>
  <c r="G1684"/>
  <c r="G1685"/>
  <c r="G1686"/>
  <c r="G1687"/>
  <c r="G1688"/>
  <c r="G1689"/>
  <c r="G1690"/>
  <c r="G1691"/>
  <c r="G1692"/>
  <c r="G1693"/>
  <c r="G1694"/>
  <c r="G1695"/>
  <c r="G1696"/>
  <c r="G1697"/>
  <c r="G1698"/>
  <c r="G1699"/>
  <c r="G1700"/>
  <c r="G1701"/>
  <c r="G1702"/>
  <c r="G1703"/>
  <c r="G1704"/>
  <c r="G1705"/>
  <c r="G1706"/>
  <c r="G1707"/>
  <c r="G1708"/>
  <c r="G1709"/>
  <c r="G1710"/>
  <c r="G1711"/>
  <c r="G1712"/>
  <c r="G1713"/>
  <c r="G1714"/>
  <c r="G1715"/>
  <c r="G1716"/>
  <c r="G1717"/>
  <c r="G1718"/>
  <c r="G1719"/>
  <c r="G1720"/>
  <c r="G1721"/>
  <c r="G1722"/>
  <c r="G1723"/>
  <c r="G1724"/>
  <c r="G1725"/>
  <c r="G1726"/>
  <c r="G1727"/>
  <c r="G1728"/>
  <c r="G1729"/>
  <c r="G1730"/>
  <c r="G1731"/>
  <c r="G1732"/>
  <c r="G1733"/>
  <c r="G1734"/>
  <c r="G1735"/>
  <c r="G1736"/>
  <c r="G1737"/>
  <c r="G1738"/>
  <c r="G1739"/>
  <c r="G1740"/>
  <c r="G1741"/>
  <c r="G1742"/>
  <c r="G1743"/>
  <c r="G1744"/>
  <c r="G1745"/>
  <c r="G1746"/>
  <c r="G1747"/>
  <c r="G1748"/>
  <c r="G1749"/>
  <c r="G1750"/>
  <c r="G1751"/>
  <c r="G1752"/>
  <c r="G1753"/>
  <c r="G1754"/>
  <c r="G1755"/>
  <c r="G1756"/>
  <c r="G1757"/>
  <c r="G1758"/>
  <c r="G1759"/>
  <c r="G1760"/>
  <c r="G1761"/>
  <c r="G1762"/>
  <c r="G1763"/>
  <c r="G1764"/>
  <c r="G1765"/>
  <c r="G1766"/>
  <c r="G1767"/>
  <c r="G1768"/>
  <c r="G1769"/>
  <c r="G1770"/>
  <c r="G1771"/>
  <c r="G1772"/>
  <c r="G1773"/>
  <c r="G1774"/>
  <c r="G1775"/>
  <c r="G1776"/>
  <c r="G1777"/>
  <c r="G1778"/>
  <c r="G1779"/>
  <c r="G1780"/>
  <c r="G1781"/>
  <c r="G1782"/>
  <c r="G1783"/>
  <c r="G1784"/>
  <c r="G1785"/>
  <c r="G1786"/>
  <c r="G1787"/>
  <c r="G1788"/>
  <c r="G1789"/>
  <c r="G1790"/>
  <c r="G1791"/>
  <c r="G1792"/>
  <c r="G1793"/>
  <c r="G1794"/>
  <c r="G1795"/>
  <c r="G1796"/>
  <c r="G1797"/>
  <c r="G1798"/>
  <c r="G1799"/>
  <c r="G1800"/>
  <c r="G1801"/>
  <c r="G1802"/>
  <c r="G1803"/>
  <c r="G1804"/>
  <c r="G1805"/>
  <c r="G1806"/>
  <c r="G1807"/>
  <c r="G1808"/>
  <c r="G1809"/>
  <c r="G1810"/>
  <c r="G1811"/>
  <c r="G1812"/>
  <c r="G1813"/>
  <c r="G1814"/>
  <c r="G1815"/>
  <c r="G1816"/>
  <c r="G1817"/>
  <c r="G1818"/>
  <c r="G1819"/>
  <c r="G1820"/>
  <c r="G1821"/>
  <c r="G1822"/>
  <c r="G1823"/>
  <c r="G1824"/>
  <c r="G1825"/>
  <c r="G1826"/>
  <c r="G1827"/>
  <c r="G1828"/>
  <c r="G1829"/>
  <c r="G1830"/>
  <c r="G1831"/>
  <c r="G1832"/>
  <c r="G1833"/>
  <c r="G1834"/>
  <c r="G1835"/>
  <c r="G1836"/>
  <c r="G1837"/>
  <c r="G1838"/>
  <c r="G1839"/>
  <c r="G1840"/>
  <c r="G1841"/>
  <c r="G1842"/>
  <c r="G1843"/>
  <c r="G1844"/>
  <c r="G1845"/>
  <c r="G1846"/>
  <c r="G1847"/>
  <c r="G1848"/>
  <c r="G1849"/>
  <c r="G1850"/>
  <c r="G1851"/>
  <c r="G1852"/>
  <c r="G1853"/>
  <c r="G1854"/>
  <c r="G1855"/>
  <c r="G1856"/>
  <c r="G1857"/>
  <c r="G1858"/>
  <c r="G1859"/>
  <c r="G1860"/>
  <c r="G1861"/>
  <c r="G1862"/>
  <c r="G1863"/>
  <c r="G1864"/>
  <c r="G1865"/>
  <c r="G1866"/>
  <c r="G1867"/>
  <c r="G1868"/>
  <c r="G1869"/>
  <c r="G1870"/>
  <c r="G1871"/>
  <c r="G1872"/>
  <c r="G1873"/>
  <c r="G1874"/>
  <c r="G1875"/>
  <c r="G1876"/>
  <c r="G1877"/>
  <c r="G1878"/>
  <c r="G1879"/>
  <c r="G1880"/>
  <c r="G1881"/>
  <c r="G1882"/>
  <c r="G1883"/>
  <c r="G1884"/>
  <c r="G1885"/>
  <c r="G1886"/>
  <c r="G1887"/>
  <c r="G1888"/>
  <c r="G1889"/>
  <c r="G1890"/>
  <c r="G1891"/>
  <c r="G1892"/>
  <c r="G1893"/>
  <c r="G1894"/>
  <c r="G1895"/>
  <c r="G1896"/>
  <c r="G1897"/>
  <c r="G1898"/>
  <c r="G1899"/>
  <c r="G1900"/>
  <c r="G1901"/>
  <c r="G1902"/>
  <c r="G1903"/>
  <c r="G1904"/>
  <c r="G1905"/>
  <c r="G1906"/>
  <c r="G1907"/>
  <c r="G1908"/>
  <c r="G1909"/>
  <c r="G1910"/>
  <c r="G1911"/>
  <c r="G1912"/>
  <c r="G1913"/>
  <c r="G1914"/>
  <c r="G1915"/>
  <c r="G1916"/>
  <c r="G1917"/>
  <c r="G1918"/>
  <c r="G1919"/>
  <c r="G1920"/>
  <c r="G1921"/>
  <c r="G1922"/>
  <c r="G1923"/>
  <c r="G1924"/>
  <c r="G1925"/>
  <c r="G1926"/>
  <c r="G1927"/>
  <c r="G1928"/>
  <c r="G1929"/>
  <c r="G1930"/>
  <c r="G1931"/>
  <c r="G1932"/>
  <c r="G1933"/>
  <c r="G1934"/>
  <c r="G1935"/>
  <c r="G1936"/>
  <c r="G1937"/>
  <c r="G1938"/>
  <c r="G1939"/>
  <c r="G1940"/>
  <c r="G1941"/>
  <c r="G1942"/>
  <c r="G1943"/>
  <c r="G1944"/>
  <c r="G1945"/>
  <c r="G1946"/>
  <c r="G1947"/>
  <c r="G1948"/>
  <c r="G1949"/>
  <c r="G1950"/>
  <c r="G1951"/>
  <c r="G1952"/>
  <c r="G1953"/>
  <c r="G1954"/>
  <c r="G1955"/>
  <c r="G1956"/>
  <c r="G1957"/>
  <c r="G1958"/>
  <c r="G1959"/>
  <c r="G1960"/>
  <c r="G1961"/>
  <c r="G1962"/>
  <c r="G1963"/>
  <c r="G1964"/>
  <c r="G1965"/>
  <c r="G1966"/>
  <c r="G1967"/>
  <c r="G1968"/>
  <c r="G1969"/>
  <c r="G1970"/>
  <c r="G1971"/>
  <c r="G1972"/>
  <c r="G1973"/>
  <c r="G1974"/>
  <c r="G1975"/>
  <c r="G1976"/>
  <c r="G1977"/>
  <c r="G1978"/>
  <c r="G1979"/>
  <c r="G1980"/>
  <c r="G1981"/>
  <c r="G1982"/>
  <c r="G1983"/>
  <c r="G1984"/>
  <c r="G1985"/>
  <c r="G1986"/>
  <c r="G1987"/>
  <c r="G1988"/>
  <c r="G1989"/>
  <c r="G1990"/>
  <c r="G1991"/>
  <c r="G1992"/>
  <c r="G1993"/>
  <c r="G1994"/>
  <c r="G1995"/>
  <c r="G1996"/>
  <c r="G1997"/>
  <c r="G1998"/>
  <c r="G1999"/>
  <c r="G2000"/>
  <c r="G2001"/>
  <c r="G2002"/>
  <c r="G2003"/>
  <c r="G2004"/>
  <c r="G2005"/>
  <c r="G2006"/>
  <c r="G2007"/>
  <c r="G2008"/>
  <c r="G2009"/>
  <c r="G2010"/>
  <c r="G2011"/>
  <c r="G2012"/>
  <c r="G2013"/>
  <c r="G2014"/>
  <c r="G2015"/>
  <c r="G2016"/>
  <c r="G2017"/>
  <c r="G2018"/>
  <c r="G2019"/>
  <c r="G2020"/>
  <c r="G2021"/>
  <c r="G2022"/>
  <c r="G2023"/>
  <c r="G2024"/>
  <c r="G2025"/>
  <c r="G2026"/>
  <c r="G2027"/>
  <c r="G2028"/>
  <c r="G2029"/>
  <c r="G2030"/>
  <c r="G2031"/>
  <c r="G2032"/>
  <c r="G2033"/>
  <c r="G2034"/>
  <c r="G2035"/>
  <c r="G2036"/>
  <c r="G2037"/>
  <c r="G2038"/>
  <c r="G2039"/>
  <c r="G2040"/>
  <c r="G2041"/>
  <c r="G2042"/>
  <c r="G2043"/>
  <c r="G2044"/>
  <c r="G2045"/>
  <c r="G2046"/>
  <c r="G2047"/>
  <c r="G2048"/>
  <c r="G2049"/>
  <c r="G2050"/>
  <c r="G2051"/>
  <c r="G2052"/>
  <c r="G2053"/>
  <c r="G2054"/>
  <c r="G2055"/>
  <c r="G2056"/>
  <c r="G2057"/>
  <c r="G2058"/>
  <c r="G2059"/>
  <c r="G2060"/>
  <c r="G2061"/>
  <c r="G2062"/>
  <c r="G2063"/>
  <c r="G2064"/>
  <c r="G2065"/>
  <c r="G2066"/>
  <c r="G2067"/>
  <c r="G2068"/>
  <c r="G2069"/>
  <c r="G2070"/>
  <c r="G2071"/>
  <c r="G2072"/>
  <c r="G2073"/>
  <c r="G2074"/>
  <c r="G2075"/>
  <c r="G2076"/>
  <c r="G2077"/>
  <c r="G2078"/>
  <c r="G2079"/>
  <c r="G2080"/>
  <c r="G2081"/>
  <c r="G2082"/>
  <c r="G2083"/>
  <c r="G2084"/>
  <c r="G2085"/>
  <c r="G2086"/>
  <c r="G2087"/>
  <c r="G2088"/>
  <c r="G2089"/>
  <c r="G2090"/>
  <c r="G2091"/>
  <c r="G2092"/>
  <c r="G2093"/>
  <c r="G2094"/>
  <c r="G2095"/>
  <c r="G2096"/>
  <c r="G2097"/>
  <c r="G2098"/>
  <c r="G2099"/>
  <c r="G2100"/>
  <c r="G2101"/>
  <c r="G2102"/>
  <c r="G2103"/>
  <c r="G2104"/>
  <c r="G2105"/>
  <c r="G2106"/>
  <c r="G2107"/>
  <c r="G2108"/>
  <c r="G2109"/>
  <c r="G2110"/>
  <c r="G2111"/>
  <c r="G2112"/>
  <c r="G2113"/>
  <c r="G2114"/>
  <c r="G2115"/>
  <c r="G2116"/>
  <c r="G2117"/>
  <c r="G2118"/>
  <c r="G2119"/>
  <c r="G2120"/>
  <c r="G2121"/>
  <c r="G2122"/>
  <c r="G2123"/>
  <c r="G2124"/>
  <c r="G2125"/>
  <c r="G2126"/>
  <c r="G2127"/>
  <c r="G2128"/>
  <c r="G2129"/>
  <c r="G2130"/>
  <c r="G2131"/>
  <c r="G2132"/>
  <c r="G2133"/>
  <c r="G2134"/>
  <c r="G2135"/>
  <c r="G2136"/>
  <c r="G2137"/>
  <c r="G2138"/>
  <c r="G2139"/>
  <c r="G2140"/>
  <c r="G2141"/>
  <c r="G2142"/>
  <c r="G2143"/>
  <c r="G2144"/>
  <c r="G2145"/>
  <c r="G2146"/>
  <c r="G2147"/>
  <c r="G2148"/>
  <c r="G2149"/>
  <c r="G2150"/>
  <c r="G2151"/>
  <c r="G2152"/>
  <c r="G2153"/>
  <c r="G2154"/>
  <c r="G2155"/>
  <c r="G2156"/>
  <c r="G2157"/>
  <c r="G2158"/>
  <c r="G2159"/>
  <c r="G2160"/>
  <c r="G2161"/>
  <c r="G2162"/>
  <c r="G2163"/>
  <c r="G2164"/>
  <c r="G2165"/>
  <c r="G2166"/>
  <c r="G2167"/>
  <c r="G2168"/>
  <c r="G2169"/>
  <c r="G2170"/>
  <c r="G2171"/>
  <c r="G2172"/>
  <c r="G2173"/>
  <c r="G2174"/>
  <c r="G2175"/>
  <c r="G2176"/>
  <c r="G2177"/>
  <c r="G2178"/>
  <c r="G2179"/>
  <c r="G2180"/>
  <c r="G2181"/>
  <c r="G2182"/>
  <c r="G2183"/>
  <c r="G2184"/>
  <c r="G2185"/>
  <c r="G2186"/>
  <c r="G2187"/>
  <c r="G2188"/>
  <c r="G2189"/>
  <c r="G2190"/>
  <c r="G2191"/>
  <c r="G2192"/>
  <c r="G2193"/>
  <c r="G2194"/>
  <c r="G2195"/>
  <c r="G2196"/>
  <c r="G2197"/>
  <c r="G2198"/>
  <c r="G2199"/>
  <c r="G2200"/>
  <c r="G2201"/>
  <c r="G2202"/>
  <c r="G2203"/>
  <c r="G2204"/>
  <c r="G2205"/>
  <c r="G2206"/>
  <c r="G2207"/>
  <c r="G2208"/>
  <c r="G2209"/>
  <c r="G2210"/>
  <c r="G2211"/>
  <c r="G2212"/>
  <c r="G2213"/>
  <c r="G2214"/>
  <c r="G2215"/>
  <c r="G2216"/>
  <c r="G2217"/>
  <c r="G2218"/>
  <c r="G2219"/>
  <c r="G2220"/>
  <c r="G2221"/>
  <c r="G2222"/>
  <c r="G2223"/>
  <c r="G2224"/>
  <c r="G2225"/>
  <c r="G2226"/>
  <c r="G2227"/>
  <c r="G2228"/>
  <c r="G2229"/>
  <c r="G2230"/>
  <c r="G2231"/>
  <c r="G2232"/>
  <c r="G2233"/>
  <c r="G2234"/>
  <c r="G2235"/>
  <c r="G2236"/>
  <c r="G2237"/>
  <c r="G2238"/>
  <c r="G2239"/>
  <c r="G2240"/>
  <c r="G2241"/>
  <c r="G2242"/>
  <c r="G2243"/>
  <c r="G2244"/>
  <c r="G2245"/>
  <c r="G2246"/>
  <c r="G2247"/>
  <c r="G2248"/>
  <c r="G2249"/>
  <c r="G2250"/>
  <c r="G2251"/>
  <c r="G2252"/>
  <c r="G2253"/>
  <c r="G2254"/>
  <c r="G2255"/>
  <c r="G2256"/>
  <c r="G2257"/>
  <c r="G2258"/>
  <c r="G2259"/>
  <c r="G2260"/>
  <c r="G2261"/>
  <c r="G2262"/>
  <c r="G2263"/>
  <c r="G2264"/>
  <c r="G2265"/>
  <c r="G2266"/>
  <c r="G2267"/>
  <c r="G2268"/>
  <c r="G2269"/>
  <c r="G2270"/>
  <c r="G2271"/>
  <c r="G2272"/>
  <c r="G2273"/>
  <c r="G2274"/>
  <c r="G2275"/>
  <c r="G2276"/>
  <c r="G2277"/>
  <c r="G2278"/>
  <c r="G2279"/>
  <c r="G2280"/>
  <c r="G2281"/>
  <c r="G2282"/>
  <c r="G2283"/>
  <c r="G2284"/>
  <c r="G2285"/>
  <c r="G2286"/>
  <c r="G2287"/>
  <c r="G2288"/>
  <c r="G2289"/>
  <c r="G2290"/>
  <c r="G2291"/>
  <c r="G2292"/>
  <c r="G2293"/>
  <c r="G2294"/>
  <c r="G2295"/>
  <c r="G2296"/>
  <c r="G2297"/>
  <c r="G2298"/>
  <c r="G2299"/>
  <c r="G2300"/>
  <c r="G2301"/>
  <c r="G2302"/>
  <c r="G2303"/>
  <c r="G2304"/>
  <c r="G2305"/>
  <c r="G2306"/>
  <c r="G2307"/>
  <c r="G2308"/>
  <c r="G2309"/>
  <c r="G2310"/>
  <c r="G2311"/>
  <c r="G2312"/>
  <c r="G2313"/>
  <c r="G2314"/>
  <c r="G2315"/>
  <c r="G2316"/>
  <c r="G2317"/>
  <c r="G2318"/>
  <c r="G2319"/>
  <c r="G2320"/>
  <c r="G2321"/>
  <c r="G2322"/>
  <c r="G2323"/>
  <c r="G2324"/>
  <c r="G2325"/>
  <c r="G2326"/>
  <c r="G2327"/>
  <c r="G2328"/>
  <c r="G2329"/>
  <c r="G2330"/>
  <c r="G2331"/>
  <c r="G2332"/>
  <c r="G2333"/>
  <c r="G2334"/>
  <c r="G2335"/>
  <c r="G2336"/>
  <c r="G2337"/>
  <c r="G2338"/>
  <c r="G2339"/>
  <c r="G2340"/>
  <c r="G2341"/>
  <c r="G2342"/>
  <c r="G2343"/>
  <c r="G2344"/>
  <c r="G2345"/>
  <c r="G2346"/>
  <c r="G2347"/>
  <c r="G2348"/>
  <c r="G2349"/>
  <c r="G2350"/>
  <c r="G2351"/>
  <c r="G2352"/>
  <c r="G2353"/>
  <c r="G2354"/>
  <c r="G2355"/>
  <c r="G2356"/>
  <c r="G2357"/>
  <c r="G2358"/>
  <c r="G2359"/>
  <c r="G2360"/>
  <c r="G2361"/>
  <c r="G2362"/>
  <c r="G2363"/>
  <c r="G2364"/>
  <c r="G2365"/>
  <c r="G2366"/>
  <c r="G2367"/>
  <c r="G2368"/>
  <c r="G2369"/>
  <c r="G2370"/>
  <c r="G2371"/>
  <c r="G2372"/>
  <c r="G2373"/>
  <c r="G2374"/>
  <c r="G2375"/>
  <c r="G2376"/>
  <c r="G2377"/>
  <c r="G2378"/>
  <c r="G2379"/>
  <c r="G2380"/>
  <c r="G2381"/>
  <c r="G2382"/>
  <c r="G2383"/>
  <c r="G2384"/>
  <c r="G2385"/>
  <c r="G2386"/>
  <c r="G2387"/>
  <c r="G2388"/>
  <c r="G2389"/>
  <c r="G2390"/>
  <c r="G2391"/>
  <c r="G2392"/>
  <c r="G2393"/>
  <c r="G2394"/>
  <c r="G2395"/>
  <c r="G2396"/>
  <c r="G2397"/>
  <c r="G2398"/>
  <c r="G2399"/>
  <c r="G2400"/>
  <c r="G2401"/>
  <c r="G2402"/>
  <c r="G2403"/>
  <c r="G2404"/>
  <c r="G2405"/>
  <c r="G2406"/>
  <c r="G2407"/>
  <c r="G2408"/>
  <c r="G2409"/>
  <c r="G2410"/>
  <c r="G2411"/>
  <c r="G2412"/>
  <c r="G2413"/>
  <c r="G2414"/>
  <c r="G2415"/>
  <c r="G2416"/>
  <c r="G2417"/>
  <c r="G2418"/>
  <c r="G2419"/>
  <c r="G2420"/>
  <c r="G2421"/>
  <c r="G2422"/>
  <c r="G2423"/>
  <c r="G2424"/>
  <c r="G2425"/>
  <c r="G2426"/>
  <c r="G2427"/>
  <c r="G2428"/>
  <c r="G2429"/>
  <c r="G2430"/>
  <c r="G2431"/>
  <c r="G2432"/>
  <c r="G2433"/>
  <c r="G2434"/>
  <c r="G2435"/>
  <c r="G2436"/>
  <c r="G2437"/>
  <c r="G2438"/>
  <c r="G2439"/>
  <c r="G2440"/>
  <c r="G2441"/>
  <c r="G2442"/>
  <c r="G2443"/>
  <c r="G2444"/>
  <c r="G2445"/>
  <c r="G2446"/>
  <c r="G2447"/>
  <c r="G2448"/>
  <c r="G2449"/>
  <c r="G2450"/>
  <c r="G2451"/>
  <c r="G2452"/>
  <c r="G2453"/>
  <c r="G2454"/>
  <c r="G2455"/>
  <c r="G2456"/>
  <c r="G2457"/>
  <c r="G2458"/>
  <c r="G2459"/>
  <c r="G2460"/>
  <c r="G2461"/>
  <c r="G2462"/>
  <c r="G2463"/>
  <c r="G2464"/>
  <c r="G2465"/>
  <c r="G2466"/>
  <c r="G2467"/>
  <c r="G2468"/>
  <c r="G2469"/>
  <c r="G2470"/>
  <c r="G2471"/>
  <c r="G2472"/>
  <c r="G2473"/>
  <c r="G2474"/>
  <c r="G2475"/>
  <c r="G2476"/>
  <c r="G2477"/>
  <c r="G2478"/>
  <c r="G2479"/>
  <c r="G2480"/>
  <c r="G2481"/>
  <c r="G2482"/>
  <c r="G2483"/>
  <c r="G2484"/>
  <c r="G2485"/>
  <c r="G2486"/>
  <c r="G2487"/>
  <c r="G2488"/>
  <c r="G2489"/>
  <c r="G2490"/>
  <c r="G2491"/>
  <c r="G2492"/>
  <c r="G2493"/>
  <c r="G2494"/>
  <c r="G2495"/>
  <c r="G2496"/>
  <c r="G2497"/>
  <c r="G2498"/>
  <c r="G2499"/>
  <c r="G2500"/>
  <c r="G2501"/>
  <c r="G2502"/>
  <c r="G2503"/>
  <c r="G2504"/>
  <c r="G2505"/>
  <c r="G2506"/>
  <c r="G2507"/>
  <c r="G2508"/>
  <c r="G2509"/>
  <c r="G2510"/>
  <c r="G2511"/>
  <c r="G2512"/>
  <c r="G2513"/>
  <c r="G2514"/>
  <c r="G2515"/>
  <c r="G2516"/>
  <c r="G2517"/>
  <c r="G2518"/>
  <c r="G2519"/>
  <c r="G2520"/>
  <c r="G2521"/>
  <c r="G2522"/>
  <c r="G2523"/>
  <c r="G2524"/>
  <c r="G2525"/>
  <c r="G2526"/>
  <c r="G2527"/>
  <c r="G2528"/>
  <c r="G2529"/>
  <c r="G2530"/>
  <c r="G2531"/>
  <c r="G2532"/>
  <c r="G2533"/>
  <c r="G2534"/>
  <c r="G2535"/>
  <c r="G2536"/>
  <c r="G4" l="1"/>
</calcChain>
</file>

<file path=xl/sharedStrings.xml><?xml version="1.0" encoding="utf-8"?>
<sst xmlns="http://schemas.openxmlformats.org/spreadsheetml/2006/main" count="2594" uniqueCount="2491">
  <si>
    <t>Скоро в продаже (идёт таможенная очистка):</t>
  </si>
  <si>
    <t>Сумма заказ</t>
  </si>
  <si>
    <t>Общая сумма</t>
  </si>
  <si>
    <t>№</t>
  </si>
  <si>
    <t>Наименование Товаров</t>
  </si>
  <si>
    <t>Передоплта 100%</t>
  </si>
  <si>
    <t>Заказ</t>
  </si>
  <si>
    <t>Отпуск.цена</t>
  </si>
  <si>
    <t>Передоплта 50%</t>
  </si>
  <si>
    <t xml:space="preserve">                                  Наш телеграм канал:                                                </t>
  </si>
  <si>
    <t>AL-лизина  1мг/мл 5мл №10 (Канд) Грузия</t>
  </si>
  <si>
    <t>L-Виава амп. 1мг/5мл №5</t>
  </si>
  <si>
    <t>L-Виава р-р. внутрь 1мг/10мл №10</t>
  </si>
  <si>
    <t>L-лизина эсцинат амп 1мг/мл 5мл №10</t>
  </si>
  <si>
    <t>L-тироксин 100 №50 Берлин Хеми</t>
  </si>
  <si>
    <t>L-тироксин 50 №50 Берлин Хеми</t>
  </si>
  <si>
    <t>L-Тироксин-Фармак  100 мкг №50</t>
  </si>
  <si>
    <t>L-Цет таб.5мг№10 Кусум</t>
  </si>
  <si>
    <t>Абилот 1,5 р-р д/ин. 1,0/0,5г №1</t>
  </si>
  <si>
    <t>Авифлокс таб. 500мг №5 (Левофлоксоцин)</t>
  </si>
  <si>
    <t>Адаптол капс. 300мг N20</t>
  </si>
  <si>
    <t>Адаптол таб. 500 мг. №20</t>
  </si>
  <si>
    <t>Адвантан крем  0,1% 15г</t>
  </si>
  <si>
    <t>Адвантан мазь 0,1% 15г</t>
  </si>
  <si>
    <t>Аделфан SD таб. №100</t>
  </si>
  <si>
    <t>Аджигра таб.100мг№4 Силденафил</t>
  </si>
  <si>
    <t>Аджисепт паст. №24</t>
  </si>
  <si>
    <t>Адипин таб. 10мг №30</t>
  </si>
  <si>
    <t>Адипин таб. 5мг №30</t>
  </si>
  <si>
    <t>Аевит LIK капс. №50</t>
  </si>
  <si>
    <t>Аз корни (Левокарнитин) для 1000мг/5мл №5</t>
  </si>
  <si>
    <t>Азидиар 500мг таб №3</t>
  </si>
  <si>
    <t>Азидиар 500мг таб №3 (Азимак)</t>
  </si>
  <si>
    <t>Азидиар Сусп 200/5мл 15мл детс</t>
  </si>
  <si>
    <t>Азилаб сусп 15мл 100мг/5мл</t>
  </si>
  <si>
    <t>Азимак капс 250мг №6 ЖМП</t>
  </si>
  <si>
    <t>Азимак капс.500мг№3 ЖМП</t>
  </si>
  <si>
    <t>Азимак сусп.200мг/5мл.30мл№1 ЖМП</t>
  </si>
  <si>
    <t>Азимак-MR капс. 500 №3</t>
  </si>
  <si>
    <t>Азимакс 200мг 5мл 15мл сусп М Р</t>
  </si>
  <si>
    <t>Азимакс 200мг 5мл 30мл сусп М Р</t>
  </si>
  <si>
    <t>Азит таб 500мг №3 (Азитромицин 500мг)</t>
  </si>
  <si>
    <t>Азитоз 500мг таб №3</t>
  </si>
  <si>
    <t>Азитромицин 200мг/5мл сусп 30мл Дента</t>
  </si>
  <si>
    <t>Азитромицин 250мг таб №6 Дента</t>
  </si>
  <si>
    <t>Азитромицин 250мг таб №6 Индия (Азедцин)</t>
  </si>
  <si>
    <t>Азитромицин 500мг таб №3 Дента</t>
  </si>
  <si>
    <t>Азитромицин 500мг таб №3 Индия (Азедцин)</t>
  </si>
  <si>
    <t>Айкорол гл. капли 4%  10мл №1</t>
  </si>
  <si>
    <t>Айфлокс 0,3% 5мл гл капли</t>
  </si>
  <si>
    <t>Айфлокс ДХ глазной 10мл №1</t>
  </si>
  <si>
    <t>Аква Марис капли наз. для детей 10мл</t>
  </si>
  <si>
    <t>Аква Марис классик спрей наз. доз 30мл</t>
  </si>
  <si>
    <t>Аквадетрим МР капли 10мл МР</t>
  </si>
  <si>
    <t>Аквадетрим плюс капли 10мл польша  02,23</t>
  </si>
  <si>
    <t>Аквалор Норм спрей 150мл Для детей с 6 месяцев и взр</t>
  </si>
  <si>
    <t>Аквалор Софт Мини спрей 50мл Для детей с 6 месяцев и взр</t>
  </si>
  <si>
    <t>Аквалор Софт спрей 150мл Для детей с 6 месяцев и взр</t>
  </si>
  <si>
    <t>Аквалор Форте спрей 150мл Для детей с 1 года и взр</t>
  </si>
  <si>
    <t>Акнефаст р-р 10мг/мл+8мг/мл 20мл</t>
  </si>
  <si>
    <t>Акридерм крем 0,05% 15г</t>
  </si>
  <si>
    <t>Акридерм СК мазь 15г</t>
  </si>
  <si>
    <t>Аксен Форт таб. 550мг №10</t>
  </si>
  <si>
    <t>Активированный Кальций 330мл</t>
  </si>
  <si>
    <t>Актовегин 10мл амп №5</t>
  </si>
  <si>
    <t>Актовегин 2мл №5</t>
  </si>
  <si>
    <t>Актовегин 5мл амп.№5</t>
  </si>
  <si>
    <t>Ала-диабет капс №30</t>
  </si>
  <si>
    <t>Албадол 400пор приг сусп №10</t>
  </si>
  <si>
    <t>Алдегин амп. 50мг/2мл №6</t>
  </si>
  <si>
    <t>Алдес таб. 5мг №20</t>
  </si>
  <si>
    <t>Алдобел 100мг таб №28</t>
  </si>
  <si>
    <t>Алдобел 25мг таб №28</t>
  </si>
  <si>
    <t>Алдобел 50мг таб №28</t>
  </si>
  <si>
    <t>Алер-G таб. 10мг №20</t>
  </si>
  <si>
    <t>Аллапинин таб.0.025мг№30 Радикс</t>
  </si>
  <si>
    <t>Аллервил таб. 10мг/5мг №10</t>
  </si>
  <si>
    <t>Аллервэй Экспресс таб. 5мг №10</t>
  </si>
  <si>
    <t>Аллопуринол таб 100 мг №50 Русс</t>
  </si>
  <si>
    <t>Аллохол таб. №10 Сарик</t>
  </si>
  <si>
    <t>Аллтромбосепин капс. 100мг №100</t>
  </si>
  <si>
    <t>Алмагел  сироп 170мл Дента</t>
  </si>
  <si>
    <t>Алмагель  170мл.сус. Балкан Фарм!!!</t>
  </si>
  <si>
    <t>Алмагель  А 170мл.сус. Балкан Фарм Нагрузка Валз таб!!!</t>
  </si>
  <si>
    <t>Алоэ экстракт 1мл №10 Русс!!!</t>
  </si>
  <si>
    <t>Алсата-10 №10</t>
  </si>
  <si>
    <t>Алтейка сироп 100мл Дента</t>
  </si>
  <si>
    <t>Алтея Вифитех сироп 125г</t>
  </si>
  <si>
    <t>Алтея сироп 125г Синтез</t>
  </si>
  <si>
    <t>Алтикам лиоф. пор.+раств. 20мг №3</t>
  </si>
  <si>
    <t>Алфагин капс. №20</t>
  </si>
  <si>
    <t>Алфагин сироп 120мл</t>
  </si>
  <si>
    <t>Алфлутоп р-р д/ин. 1мл №10</t>
  </si>
  <si>
    <t>Алчеба Капли 100мл</t>
  </si>
  <si>
    <t>Альбендазол 200мг таб №4 Дента</t>
  </si>
  <si>
    <t>Альбендазол жев. таб. 400 мг №10 Гуфик</t>
  </si>
  <si>
    <t>Альбендекс таб 400мг №1 (Альбендазол)</t>
  </si>
  <si>
    <t>Альцетро таб.5мг№20 Левоцетиризин</t>
  </si>
  <si>
    <t>Амадей таб.5мг№30 Амлодипин</t>
  </si>
  <si>
    <t>Амарил 2мг таб. №30</t>
  </si>
  <si>
    <t>Амарил 4мг таб. №30</t>
  </si>
  <si>
    <t>Амарил М SR таб. 2мг/500мг №30</t>
  </si>
  <si>
    <t>Амарил таб. 3мг №30</t>
  </si>
  <si>
    <t>Амбробен МР Сироп 15мг/5мл 100мл МР</t>
  </si>
  <si>
    <t>Амбробене таб. 30мг №10 МР</t>
  </si>
  <si>
    <t>Амброксол 15 сироп 100мл Русс</t>
  </si>
  <si>
    <t>Амброксол 30мг таб №20 Дента</t>
  </si>
  <si>
    <t>Амброксол 30мг таб №20 Зуннур</t>
  </si>
  <si>
    <t>Амброксол р-р 15мг/2мл №5 МР МР (Амбробене)</t>
  </si>
  <si>
    <t>Амброксол р-р DF 15мг/2мл №5 Дента</t>
  </si>
  <si>
    <t>Амброксол сироп 90мл Ремедий</t>
  </si>
  <si>
    <t>Амбцет таб. 60мг+5мг №10 Индия</t>
  </si>
  <si>
    <t>Амизон таб. 0,125г №10 Фармак</t>
  </si>
  <si>
    <t>Амизон таб. 0,250гр №20 Фармак</t>
  </si>
  <si>
    <t>Амизончик сироп 10мг/мл 100мл</t>
  </si>
  <si>
    <t>Амикацин пор. д/ин 1000мг №1 Русс</t>
  </si>
  <si>
    <t>Амилаб р-р для инъекций 100 мг/2мл</t>
  </si>
  <si>
    <t>Амилаб р-р для инъекций 500 мг/2мл</t>
  </si>
  <si>
    <t>Аминакапронавая к-та 5% 100мл Дента</t>
  </si>
  <si>
    <t>Аминакапронавая к-та 5% 100мл МР</t>
  </si>
  <si>
    <t>Аминалон табл. п/о 250мг №50 Русс</t>
  </si>
  <si>
    <t>Аминол р-р для инф 200мл</t>
  </si>
  <si>
    <t>Аминоселемен р-р для инф 200мл Без Коробка</t>
  </si>
  <si>
    <t>Амиодорон таб 0,2г №30 Русс</t>
  </si>
  <si>
    <t>Амиокордин, 200 мг, таб. №30 Крка</t>
  </si>
  <si>
    <t>Амитриптилин таб. 10мг №50 Гриндекс</t>
  </si>
  <si>
    <t>Амитриптилин таб. 25мг №50 Гриндекс</t>
  </si>
  <si>
    <t>Амлесса 4мг/10мг №30 КРКА</t>
  </si>
  <si>
    <t>Амлесса 4мг/5мг №30</t>
  </si>
  <si>
    <t>Амлесса 8мг/10мг №30</t>
  </si>
  <si>
    <t>Амлесса 8мг/5мг №30</t>
  </si>
  <si>
    <t>Амлипин таб 5/10мг №30</t>
  </si>
  <si>
    <t>Амлодин, 10 мг, таб. №30 Nova Pharm,</t>
  </si>
  <si>
    <t>Амлодин, 5 мг, таб. №30 Nova Pharm,</t>
  </si>
  <si>
    <t>Амлодипин 10мг таб №30 Русс</t>
  </si>
  <si>
    <t>Амлодипин 5мг таб №30 Русс</t>
  </si>
  <si>
    <t>Амлокс 10мг таб №30</t>
  </si>
  <si>
    <t>Амлокс таб. 5мг №30</t>
  </si>
  <si>
    <t>Амлонон таб. 10мг №30</t>
  </si>
  <si>
    <t>Амлонон таб. 5мг №30</t>
  </si>
  <si>
    <t>Амлорус таб. 10мг №30 Русс</t>
  </si>
  <si>
    <t>Амлорус таб. 2,5мг №30 Русс</t>
  </si>
  <si>
    <t>Амлорус таб. 5мг №30 Русс</t>
  </si>
  <si>
    <t>Аммиак р-р 10% 10мл LAFZ</t>
  </si>
  <si>
    <t>Амоксациклин 125мг/5мл сусп 100мл Дента</t>
  </si>
  <si>
    <t>Амоксациклин 125мг/5мл сусп 40мл МР</t>
  </si>
  <si>
    <t>Амоксациллин 250мг таб №10 Дента</t>
  </si>
  <si>
    <t>Амоксациллин 250мг таб №10 М Р  02,23</t>
  </si>
  <si>
    <t>Амоксациллин 500мг таб №10 Дента</t>
  </si>
  <si>
    <t>Амоксациллин 500мг таб №10 М Р</t>
  </si>
  <si>
    <t>Амоксиклав  156.25мг/5л. Дента (Камоксиклав)</t>
  </si>
  <si>
    <t>Амоксиклав р-р 1,2г №5 Лек</t>
  </si>
  <si>
    <t>Амоксиклав таб 2х1000 №14 Лек</t>
  </si>
  <si>
    <t>Амоксиклав таб. 625мг №15 Лек</t>
  </si>
  <si>
    <t>Амоксициллин- капс. 250мг №10 Remedy</t>
  </si>
  <si>
    <t>Амоксициллин- капс. 500мг №10 Remedy</t>
  </si>
  <si>
    <t>Ампицилин 125мг/5мл сусп 100мл Дента</t>
  </si>
  <si>
    <t>Ампицилин 250мг таб №10 Дента</t>
  </si>
  <si>
    <t>Ампициллин  500г таб №10 Дента</t>
  </si>
  <si>
    <t>Ампициллин  500г таб №10 МР</t>
  </si>
  <si>
    <t>Ампициллин нат соль 0,1г Дента</t>
  </si>
  <si>
    <t>Ампициллин нат соль 0,1г МР</t>
  </si>
  <si>
    <t>Ампициллин нат соль 0,1г Русс</t>
  </si>
  <si>
    <t>Ампициллин нат соль 0,5г Дента</t>
  </si>
  <si>
    <t>Ампициллин нат соль 0,5г МР</t>
  </si>
  <si>
    <t>Ампициллин нат соль 0,5г Русс</t>
  </si>
  <si>
    <t>Ампициллин сульбактам 1,5г №1 Чина</t>
  </si>
  <si>
    <t>Ампициллин-капс, 250мг №10 Remedy</t>
  </si>
  <si>
    <t>Ампициллин-капс, 500мг №10 Remedy</t>
  </si>
  <si>
    <t>Ампициллина триг  таб  0,25г №10 Бельмед</t>
  </si>
  <si>
    <t>Амприлан 10 мг №30</t>
  </si>
  <si>
    <t>Амприлан 2,5мг №30</t>
  </si>
  <si>
    <t>Амприлан 5мг №30</t>
  </si>
  <si>
    <t>Амприлан HD 5МГ/25мг №30</t>
  </si>
  <si>
    <t>Амприлан HL 2,5мг/12,5мг №30</t>
  </si>
  <si>
    <t>Амра форте таб. 4мг/1,25мг №30</t>
  </si>
  <si>
    <t>Амрадипин таб. 8мг/5мг №30</t>
  </si>
  <si>
    <t>Анальгин 50% 2мл №5 Дента</t>
  </si>
  <si>
    <t>Анальгин таб 0,5 №10 Борисовский</t>
  </si>
  <si>
    <t>Анальдим  супп рект 250мг/20мг №10 Аналгин+Димедрол</t>
  </si>
  <si>
    <t>Анальдим супп рект 100мг/10мг №10</t>
  </si>
  <si>
    <t>Анаприлин 40мг №50 таб.</t>
  </si>
  <si>
    <t>Анасеп гель 20гр</t>
  </si>
  <si>
    <t>Анаферон взр таб. №20</t>
  </si>
  <si>
    <t>Анаферон Детский капли 25мл</t>
  </si>
  <si>
    <t>Анаферон детский таб. №20</t>
  </si>
  <si>
    <t>Андипал таб №20 Русс</t>
  </si>
  <si>
    <t>Анестазол с/в №10 Дента</t>
  </si>
  <si>
    <t>Анестазол с/в №10 МР МР</t>
  </si>
  <si>
    <t>Анестезол супп.рект. №10 Нижфарм</t>
  </si>
  <si>
    <t>Антигельминт таб №110 Беби</t>
  </si>
  <si>
    <t>Антигельминт таб №80</t>
  </si>
  <si>
    <t>Антигеморане мазь 15гр</t>
  </si>
  <si>
    <t>Антигеморане свечи 2гр №10</t>
  </si>
  <si>
    <t>Антигриппин таб. №10 Ziyo Nur Farm</t>
  </si>
  <si>
    <t>Антигриппин таб. №20 Ziyo Nur Farm</t>
  </si>
  <si>
    <t>Антигриппин таб. шипуч. (грейпфрут) №10</t>
  </si>
  <si>
    <t>Антигриппин таб. шипуч. (малина) №10</t>
  </si>
  <si>
    <t>Антимигрен-Здоровье  таб 100мг №1</t>
  </si>
  <si>
    <t>Антипедикулёзный шампунь 60мл№1 Комплект</t>
  </si>
  <si>
    <t>Антисептик спрей для рук 100мл</t>
  </si>
  <si>
    <t>Антифлат таб. №50</t>
  </si>
  <si>
    <t>Антраль таб. 0,1г №30</t>
  </si>
  <si>
    <t>Антраль таб. 0,2г №30</t>
  </si>
  <si>
    <t>Анузол-Фармаприм супп.рек. №10</t>
  </si>
  <si>
    <t>Апдил-Тотал таб.№10</t>
  </si>
  <si>
    <t>Апдропс гл.кап.5мл№1</t>
  </si>
  <si>
    <t>Апдропс-ДХ гл.кап.5мл№1</t>
  </si>
  <si>
    <t>Апилак  таб 10мг №10</t>
  </si>
  <si>
    <t>Апкосул капс.№100</t>
  </si>
  <si>
    <t>Априд 375, таблетки п/о №10</t>
  </si>
  <si>
    <t>Априд 750мг таб №10</t>
  </si>
  <si>
    <t>Априд сироп 70мл Нобел</t>
  </si>
  <si>
    <t>Апфекто гл кап 0,3% 1,7мл №1</t>
  </si>
  <si>
    <t>Арбидан капс 100мг №10 МР (Арбидол)</t>
  </si>
  <si>
    <t>Арбидол 100мг кап №10 (Арбетол) Малика Фарм</t>
  </si>
  <si>
    <t>Арбидол таб 100мг №10 (Имустат)</t>
  </si>
  <si>
    <t>Аргин сироп 200мл</t>
  </si>
  <si>
    <t>Арлеверт таб. 20мг/40мг №50</t>
  </si>
  <si>
    <t>Артишока экстракт-Здоровье капс. 100мг №60</t>
  </si>
  <si>
    <t>Артоксан 20мг с/в №5</t>
  </si>
  <si>
    <t>Артоксан гель 1% 45г. №1</t>
  </si>
  <si>
    <t>Артоксан лиоф.пор 20мг №3</t>
  </si>
  <si>
    <t>Артрокол гель 2,5%  45гр № 1</t>
  </si>
  <si>
    <t>Артрокол р-р д/и амп.100мг/2мл №5</t>
  </si>
  <si>
    <t>Арутимол 2,5мг/глаз капли 5мл №1</t>
  </si>
  <si>
    <t>Арутимол 5мг/глаз капли 5мл №1</t>
  </si>
  <si>
    <t>Аседол р-р для инъекц 50мг/мл 5мл №5</t>
  </si>
  <si>
    <t>Аселак р-р для инек 30мг/2мл №5</t>
  </si>
  <si>
    <t>Аскарбинка Jelle vitka №300 (Мармеладка)</t>
  </si>
  <si>
    <t>Аскарбинка Вита Гум №300 (Мармеладка)</t>
  </si>
  <si>
    <t>Аскарбиновая к-та 5% 2мл №5  Дента</t>
  </si>
  <si>
    <t>Аскорбинка 3,0г №1000  Кант Смайлик</t>
  </si>
  <si>
    <t>Аскорбинка к-та жев конфеты 25мг №10</t>
  </si>
  <si>
    <t>Аскорбиновая кислота с глюк. таб. №10 Русс</t>
  </si>
  <si>
    <t>Аскорил сироп Экспекторант 100мл</t>
  </si>
  <si>
    <t>Аскорутин таб №10 Дента</t>
  </si>
  <si>
    <t>Аскорутин таб №10 Зуннур Фарм</t>
  </si>
  <si>
    <t>Аскорутин таб. №50 Лафз</t>
  </si>
  <si>
    <t>Аскофер сироп 100мл</t>
  </si>
  <si>
    <t>Аскоцин таб №100</t>
  </si>
  <si>
    <t>Асмада таб 150/30,39мг №100</t>
  </si>
  <si>
    <t>Асмада таб 75/15,2мг №100</t>
  </si>
  <si>
    <t>Асформин 1000мг таб №100</t>
  </si>
  <si>
    <t>Асформин 850мг таб №100</t>
  </si>
  <si>
    <t>Атенолол таб. 100мг №30 Русс</t>
  </si>
  <si>
    <t>Атенолол табл. 50мг №30</t>
  </si>
  <si>
    <t>Атокса лиоф пор д/ин 20мг+р-ль №1</t>
  </si>
  <si>
    <t>Аторвакор таб 20 мг №30</t>
  </si>
  <si>
    <t>Аторвакор таб 40 мг №30</t>
  </si>
  <si>
    <t>Аторвакор таб. 10мг №30</t>
  </si>
  <si>
    <t>Аторис 10мг №30</t>
  </si>
  <si>
    <t>Аторис 20мг №30</t>
  </si>
  <si>
    <t>Аторис 40мг №30</t>
  </si>
  <si>
    <t>Аторис 60мг №30</t>
  </si>
  <si>
    <t>Атосар таб. 25мг №30</t>
  </si>
  <si>
    <t>Атропина  сульфат амп 0,1% 1мл №10</t>
  </si>
  <si>
    <t>Ауробин 20мг Мазь Наружного</t>
  </si>
  <si>
    <t>Афала таб. №100</t>
  </si>
  <si>
    <t>Афлубин капли 20мл</t>
  </si>
  <si>
    <t>Афобазол таб. 10мг №60</t>
  </si>
  <si>
    <t>Ацекард таб.50мг№30 Ацетил. к-та</t>
  </si>
  <si>
    <t>Ацекард таб.75мг№30 Ацетил. к-та</t>
  </si>
  <si>
    <t>Ацесоль 250мл№1 Сем</t>
  </si>
  <si>
    <t>Ацесоль р-р 200мл МР МР МР_x001F__x001F_</t>
  </si>
  <si>
    <t>Ацетилсалициловая таб 500мг №10 Русс</t>
  </si>
  <si>
    <t>Ацефенак Актив гель 30гр 04,23</t>
  </si>
  <si>
    <t>Ацефенак таб №100</t>
  </si>
  <si>
    <t>Ацефенак Фаст амп. 75мг 3мл №5</t>
  </si>
  <si>
    <t>Ацефлю  таб №30 Ацперин</t>
  </si>
  <si>
    <t>Ацикловир 200мг таб №20 №20 №20 Дента</t>
  </si>
  <si>
    <t>Ацикловир 200мг таб №20 Зуннур фарм</t>
  </si>
  <si>
    <t>Ацикловир 200мг таб №20 МР МР</t>
  </si>
  <si>
    <t>Ацикловир крем 5% 10 гр МедипХарко</t>
  </si>
  <si>
    <t>Ацикловир мазь 5% 10г Дента</t>
  </si>
  <si>
    <t>Ацикловир мазь 5% 10г МР МР</t>
  </si>
  <si>
    <t>Ацикловир-Акос таб. 200мг №20</t>
  </si>
  <si>
    <t>АЦЦ 200мг пакет №20</t>
  </si>
  <si>
    <t>АЦЦ Инжект 300мг/3мл 3мл №10</t>
  </si>
  <si>
    <t>АЦЦ Лонг таб. 600мг №10</t>
  </si>
  <si>
    <t>АЦЦ ПОР 600мг 3г №6</t>
  </si>
  <si>
    <t>Аччик тош Banafa Deodorant 60мл</t>
  </si>
  <si>
    <t>Аэртал крем 1,5% 60г</t>
  </si>
  <si>
    <t>Аэртал таб. 100мг №60</t>
  </si>
  <si>
    <t>Б-витром р-р для в/м введ. 2мл №5 Ромфарм</t>
  </si>
  <si>
    <t>Багеда таб 20мг №30</t>
  </si>
  <si>
    <t>Базер р-р 100мл (L-Аргинин+Левокарнитин) Seem</t>
  </si>
  <si>
    <t>Бакстимс 100мл</t>
  </si>
  <si>
    <t>Бактамед пор д/приг,р-ра д/и 1500мг №1</t>
  </si>
  <si>
    <t>Бактолор саше 1,4г №6</t>
  </si>
  <si>
    <t>БалгилВИ р-р инф.500мг/100мл№1</t>
  </si>
  <si>
    <t>Бальзам "Золотая Звезда" карандаш 1.3г</t>
  </si>
  <si>
    <t>Бальзам "Золотая Звезда" мазь 4г</t>
  </si>
  <si>
    <t>Баралгин таб №100 (Биралгин)</t>
  </si>
  <si>
    <t>Барбовал 25мл Фармак</t>
  </si>
  <si>
    <t>Белара таб. 2мг/0,03мг №21</t>
  </si>
  <si>
    <t>Белдомакс сусп 400мг/10мл №1</t>
  </si>
  <si>
    <t>Беллс пастил. лимонные №16</t>
  </si>
  <si>
    <t>Беневрон Б р-р д/и амп. 3 мл. №5</t>
  </si>
  <si>
    <t>Бензилпенициллин н/с 1 000 000Ед  МР МР МР</t>
  </si>
  <si>
    <t>Бензилпенициллин н/с 1 000 000Ед  Синтез</t>
  </si>
  <si>
    <t>Бензилпенициллин н/с 1 000 000Ед Чина</t>
  </si>
  <si>
    <t>Бензонал таб. 100мг №50 Татхим</t>
  </si>
  <si>
    <t>Бепантен крем 5% 30г !!!</t>
  </si>
  <si>
    <t>Бепантен мазь 5% 30г</t>
  </si>
  <si>
    <t>Берлиприл 10 №30 Берлин Хеми</t>
  </si>
  <si>
    <t>Берлиприл 20 №30 Берлин Хеми</t>
  </si>
  <si>
    <t>Берлиприл 5 мг №30 Берлин Хеми</t>
  </si>
  <si>
    <t>Берлиприл 5мг таб №30 (Бернебрил) Малика Фарм</t>
  </si>
  <si>
    <t>Берлитион 300 Ед 12 мл №5 Берлин Хеми</t>
  </si>
  <si>
    <t>Берлитион 600 ЕД 5 амп. 24 мл</t>
  </si>
  <si>
    <t>Беродуал р-р 20мл№1</t>
  </si>
  <si>
    <t>Беродуал р-р для ингаяций 20 мл</t>
  </si>
  <si>
    <t>Беротек Н аэр. 100мкг/доз 10мл 200доз</t>
  </si>
  <si>
    <t>Бестаксол гл. капли 4% 10мл №1</t>
  </si>
  <si>
    <t>Бетадерм мазь 15г</t>
  </si>
  <si>
    <t>Бетадин р-р 100мг/г 30мл Эгис</t>
  </si>
  <si>
    <t>Бетадин р-р.100мл№1 PHARMACOM</t>
  </si>
  <si>
    <t>Бетадин р-р.30мл№1 PHARMACOM</t>
  </si>
  <si>
    <t>Бетасерк 16мг №30 Аббот</t>
  </si>
  <si>
    <t>Бетасерк таб. 24мг №60</t>
  </si>
  <si>
    <t>Бетасерк таб. 8мг №30 Аббот</t>
  </si>
  <si>
    <t>Бетаспан Депо сусп. д/ин. 1мл №5</t>
  </si>
  <si>
    <t>Бефрон сусп 100мг/5мл  100мл</t>
  </si>
  <si>
    <t>Бивокса гл капли 0,5% 5мл №1</t>
  </si>
  <si>
    <t>Бидоп таб. 10мг №28</t>
  </si>
  <si>
    <t>Бинт марл 5*10 Стерилний</t>
  </si>
  <si>
    <t>Бинт марлевый мед н/с 5х8,5</t>
  </si>
  <si>
    <t>Бинт марлевый мед н/с 7х8,5</t>
  </si>
  <si>
    <t>Бинт марли 7х14 Оддий Сарбонтекс</t>
  </si>
  <si>
    <t>Бинт стерилний 7*14 Тошкент</t>
  </si>
  <si>
    <t>Бинт тканный н/с 7м * 14см Сарбонтекс</t>
  </si>
  <si>
    <t>Бинт эластич. R100mm-1m№1 NORMAL</t>
  </si>
  <si>
    <t>Бинт эластич. R100mm-2mm№1 EXTRA</t>
  </si>
  <si>
    <t>Бинт эластич. R140mm-1m№1 NORMAL</t>
  </si>
  <si>
    <t>Бинт эластич. R140mm-2m№1 NORMAL</t>
  </si>
  <si>
    <t>Бинт эластич. мед. GT 120мм х 3м №1</t>
  </si>
  <si>
    <t>Бинт эластичный GT 120мм 1.5м №1</t>
  </si>
  <si>
    <t>Бинт эластичный GT 120мм 1м №1</t>
  </si>
  <si>
    <t>Бинт эластичный GT 140мм 2м №1</t>
  </si>
  <si>
    <t>Бинт эластичный GT 140мм 3м №1</t>
  </si>
  <si>
    <t>Бинт эластичный GT 140мм 5м №1</t>
  </si>
  <si>
    <t>Бинт эластичный GT 80мм 3м №1</t>
  </si>
  <si>
    <t>Биоверде, 1,5 мг/мл, 30 мл, спрей, №1</t>
  </si>
  <si>
    <t>Биолактовит Нео 800мг капсула №20</t>
  </si>
  <si>
    <t>Биомол капс.№30</t>
  </si>
  <si>
    <t>Биоферон сироп 250мл</t>
  </si>
  <si>
    <t>Биофлокс 200мг р-р 100мл №1</t>
  </si>
  <si>
    <t>Биофлокс-О таб №10</t>
  </si>
  <si>
    <t>Бисакадил 10мг с/в №10 М Р</t>
  </si>
  <si>
    <t>Бисакадил 10мг с/в №10 Монфарм,Украина</t>
  </si>
  <si>
    <t>Бисакодил таб.5мг№30 Русс</t>
  </si>
  <si>
    <t>Бисепролол 10мг таб №30 Радикс</t>
  </si>
  <si>
    <t>Бисептол Гее таб №20 Индия</t>
  </si>
  <si>
    <t>Бисептол сусп 80мл Полша</t>
  </si>
  <si>
    <t>Бисептол таб. 120мг №20 Полша</t>
  </si>
  <si>
    <t>Бисептол таб. 960мг №10 Полша</t>
  </si>
  <si>
    <t>Бисол, 200 мл, флак  Remedy Group</t>
  </si>
  <si>
    <t>Бисопролол таб. 2,5мг №30 Русс</t>
  </si>
  <si>
    <t>Биссамор 10мг таб №30</t>
  </si>
  <si>
    <t>Биссамор 2,5мг таб  №30</t>
  </si>
  <si>
    <t>Биссамор 5мг таб №30</t>
  </si>
  <si>
    <t>Биссептол- МR 480мг №20</t>
  </si>
  <si>
    <t>Бифидумбактерин  5 доз №10 Микроген</t>
  </si>
  <si>
    <t>Бифидус Саше №10</t>
  </si>
  <si>
    <t>Бифолак Актив капс 0,5г №10</t>
  </si>
  <si>
    <t>Бифрен капс.250мг№20</t>
  </si>
  <si>
    <t>Бифф Baby саше №10</t>
  </si>
  <si>
    <t>Бифф Иммуно саше №10</t>
  </si>
  <si>
    <t>Бицилин 3 пор фл Синтез</t>
  </si>
  <si>
    <t>Бицилин 5 пор фл Синтез</t>
  </si>
  <si>
    <t>Бициллин-3 пор. д/ин. 600000ЕД Украина Артерум</t>
  </si>
  <si>
    <t>Бициллин-5 1 500 000 ЕД Ника</t>
  </si>
  <si>
    <t>Блокарт В-12 лиоф. пор. 3мл №5</t>
  </si>
  <si>
    <t>Блокиум B12 лиоф. р-р д/ин. 3мл №5</t>
  </si>
  <si>
    <t>Боботик 30мл МР МР МР</t>
  </si>
  <si>
    <t>Боботик капли 30ил Полша!!!</t>
  </si>
  <si>
    <t>Бодрин капс №30</t>
  </si>
  <si>
    <t>Болнол Ацц таб №100</t>
  </si>
  <si>
    <t>Болнол ДФ 75мг инек  3мл №10</t>
  </si>
  <si>
    <t>Болнол Плюс сусп 60мл</t>
  </si>
  <si>
    <t>Болнол Релакс гель 30г</t>
  </si>
  <si>
    <t>Болнол таб. №100!!!</t>
  </si>
  <si>
    <t>Бонджигар капс. №60</t>
  </si>
  <si>
    <t>Бонджигар сироп 90мл</t>
  </si>
  <si>
    <t>Боралгин раствор для инъекций 5мл М Р</t>
  </si>
  <si>
    <t>Борная к-та пор. 10г Osiyo Farm</t>
  </si>
  <si>
    <t>Борная к-та р-р спиртовой 3% - 20 мл</t>
  </si>
  <si>
    <t>Борная мазь 5% 20г Ziyo Nur Farm</t>
  </si>
  <si>
    <t>Боро плюс крем 25г Аромат трап</t>
  </si>
  <si>
    <t>Боро плюс крем 25г Химани</t>
  </si>
  <si>
    <t>Боро плюс крем 50г Оргинал</t>
  </si>
  <si>
    <t>Бравадин таб. 5мг №56</t>
  </si>
  <si>
    <t>Бравадин таб. 7,5мг №56</t>
  </si>
  <si>
    <t>Бравекс сусп 100мг/5мл №1</t>
  </si>
  <si>
    <t>Бравинтон р-р 5мг/мл 2мл №10 Брынцалов</t>
  </si>
  <si>
    <t>Бралгет таб №100</t>
  </si>
  <si>
    <t>Бревефлора кап №10 Курамакс</t>
  </si>
  <si>
    <t>Бренакс р-р д/ин. 500мг/4мл 4мл №5</t>
  </si>
  <si>
    <t>Бризези таб. 4мг №30</t>
  </si>
  <si>
    <t>Бримоптик гл.капли 2мг/мл, 5мг/мл 10мл</t>
  </si>
  <si>
    <t>Бринзопт гл.капли сусп. 10мг/мл 5мл</t>
  </si>
  <si>
    <t>Бринзопт Плюс гл.капли 10мг/мл+5мг/мл 5мл</t>
  </si>
  <si>
    <t>Бровенсин сироп 100мл №1 (Бромгексин)</t>
  </si>
  <si>
    <t>Бромгексин 4 сироп  60мл Берлин Хеми</t>
  </si>
  <si>
    <t>Бромгексин таб. 8мг №50 Борисовский</t>
  </si>
  <si>
    <t>Бронхолитин сироп 125мл</t>
  </si>
  <si>
    <t>Бронхосип сироп от кашля д/детей 100мл фл</t>
  </si>
  <si>
    <t>Бруфен гранулы 600мг №30</t>
  </si>
  <si>
    <t>Бруфен Рапид капс. 200мг №10</t>
  </si>
  <si>
    <t>Бруфен Ретард таб. 800мг №20</t>
  </si>
  <si>
    <t>Бугдой кепаги Пшеничные отруби "Слим" 250г</t>
  </si>
  <si>
    <t>Будектон капсулы 200мкг №60</t>
  </si>
  <si>
    <t>Будектон капсулы 400мкг №60</t>
  </si>
  <si>
    <t>Бумажной Салфетка №2</t>
  </si>
  <si>
    <t>Буманол лиоф. пор. д/и флак+раств-ль №1</t>
  </si>
  <si>
    <t>Бупивакаин-Гриндекс р-р 5мг/10мл №5</t>
  </si>
  <si>
    <t>Бупивакаин-Гриндекс спинал 0,5мг/мл 4мл №5</t>
  </si>
  <si>
    <t>Бупикаин амп.50мг/10мл№10 Lahore Chemical Pharmaceutikal</t>
  </si>
  <si>
    <t>Бупикаин, 50 мг/10 мл, 10 мл, амп. №10 Пакистан</t>
  </si>
  <si>
    <t>Бустим DS сусп. 228,5мг/5мл 60мл</t>
  </si>
  <si>
    <t>Бустим пор. д/ин. 1,2г №1</t>
  </si>
  <si>
    <t>Вазатор 10мг таб №30</t>
  </si>
  <si>
    <t>Вазатор 20мг таб №30</t>
  </si>
  <si>
    <t>Вазелин  "SAJ"</t>
  </si>
  <si>
    <t>Вазелин  медицинский  - 20гр Дента</t>
  </si>
  <si>
    <t>Вазелин  ЭРОН</t>
  </si>
  <si>
    <t>Вазопро р-р д/и 100мг/мл 5мл №10</t>
  </si>
  <si>
    <t>Валерианы таб. 20мг экстракт №50 №50 №50</t>
  </si>
  <si>
    <t>Валз таб 160мг №28</t>
  </si>
  <si>
    <t>Валодип таб. 10мг/160мг №30</t>
  </si>
  <si>
    <t>Валодип таб. 10мг/160мг №30 КРКА</t>
  </si>
  <si>
    <t>Валодип таб. 5мг/160мг №30</t>
  </si>
  <si>
    <t>Валодип таб. 5мг/80мг №30 КРКА</t>
  </si>
  <si>
    <t>Валсам таб 320/10мг №30</t>
  </si>
  <si>
    <t>Валсам таб. 160мг/10мг №30  Индия</t>
  </si>
  <si>
    <t>Вальсакор 160мг №28</t>
  </si>
  <si>
    <t>Вальсакор 160мг №28 КРКА</t>
  </si>
  <si>
    <t>Вальсакор 80мг №28</t>
  </si>
  <si>
    <t>Вальсакор 80мг №28 КРКА</t>
  </si>
  <si>
    <t>Вальсакор 80мг таб №30 МР МР</t>
  </si>
  <si>
    <t>Вальсакор Н160 160мг/12,5мг №28 КРКА</t>
  </si>
  <si>
    <t>Вальсакор Н80 80мг/12,5мг №28 КРКА</t>
  </si>
  <si>
    <t>Вамелан капс.№30</t>
  </si>
  <si>
    <t>Ваменафф капс 400мг №30</t>
  </si>
  <si>
    <t>Вата 25г Оргинал 120 талик</t>
  </si>
  <si>
    <t>Вата мед. гигрос. нестерильн. 250г SARBONTEKS</t>
  </si>
  <si>
    <t>Велмекс таб 250мг №10 (Левофлоксацин)</t>
  </si>
  <si>
    <t>Велмекс таб 500мг №10 (Левофлоксацин)</t>
  </si>
  <si>
    <t>Велпен 100мг таб №100</t>
  </si>
  <si>
    <t>Велпен 200мг таб №100</t>
  </si>
  <si>
    <t>Велсон р-р д/иньек 250мг/5мл №5 Ливсон</t>
  </si>
  <si>
    <t>Велфлокс таб №30</t>
  </si>
  <si>
    <t>Венодиол  табл. №30</t>
  </si>
  <si>
    <t>Венолекс таб. 450мг №60</t>
  </si>
  <si>
    <t>Венорм таб №60</t>
  </si>
  <si>
    <t>Верапамил-Дарница р-р 2,5мг/мл. 2мл. №10</t>
  </si>
  <si>
    <t>Вермигон плюс сироп 10мл</t>
  </si>
  <si>
    <t>Вероксиб 60мг таб №30</t>
  </si>
  <si>
    <t>Вероксиб 90мг таб №30</t>
  </si>
  <si>
    <t>Веролактон таб 100мг №30 (Верошпирон)</t>
  </si>
  <si>
    <t>Веролактон таб 25мг №30 (Верошпирон)</t>
  </si>
  <si>
    <t>Веролактон таб 50мг №30 (Верошпирон)</t>
  </si>
  <si>
    <t>Верона капс. №20</t>
  </si>
  <si>
    <t>Верошпирон капс. 100мг №30</t>
  </si>
  <si>
    <t>Верошпирон капс. 50мг №30</t>
  </si>
  <si>
    <t>Верошпирон таб. 25мг №20</t>
  </si>
  <si>
    <t>Вертинекс таб 5мг №100</t>
  </si>
  <si>
    <t>Вестинорм таб. 24мг №30</t>
  </si>
  <si>
    <t>Вивабон сироп 120мл</t>
  </si>
  <si>
    <t>Визанна 2мг №28 таб.</t>
  </si>
  <si>
    <t>Визонат гл капли по 8мл</t>
  </si>
  <si>
    <t>Викасол 10мг1мл №10 Русс</t>
  </si>
  <si>
    <t>Виндазол-500 3Х10 таб.</t>
  </si>
  <si>
    <t>Винебрал капс. 30мг №20</t>
  </si>
  <si>
    <t>Виона Пренатал-Форте таб. №30</t>
  </si>
  <si>
    <t>Виплактин Бейби Саше 1г №10</t>
  </si>
  <si>
    <t>Виплактин-С сусп. д/према внутрь 2млрд/5мл №10</t>
  </si>
  <si>
    <t>Випросал В мазь 30г</t>
  </si>
  <si>
    <t>Випросал В мазь 50г</t>
  </si>
  <si>
    <t>Виростав гл капли 0,1% 10мл</t>
  </si>
  <si>
    <t>Вита Гифт Кидс (БАД) таб. №60</t>
  </si>
  <si>
    <t>Вита Гифт Классик (БАД) таб. №60</t>
  </si>
  <si>
    <t>Вита Гифт Мама (БАД) таб. №60</t>
  </si>
  <si>
    <t>Витагум  органик №40 "кора седана)</t>
  </si>
  <si>
    <t>Витадерм флакон 110мл</t>
  </si>
  <si>
    <t>Витадерм флакон 230мл Беби</t>
  </si>
  <si>
    <t>Витаком В комплекс р-р д/ин. 3мл №5 Грузия</t>
  </si>
  <si>
    <t>Витал вит К1 р-р 0,5мл №10</t>
  </si>
  <si>
    <t>Виталонг капс №30</t>
  </si>
  <si>
    <t>Витамед р-р д/ин. 2мл №5 (Вит в комплекс)</t>
  </si>
  <si>
    <t>Витамин В 12  1мл №10 Журабек</t>
  </si>
  <si>
    <t>Витамин В 12  1мл №10 Русс</t>
  </si>
  <si>
    <t>Витамин В 12 1мл №10 МР</t>
  </si>
  <si>
    <t>Витамин В комплекс амп 2мл №10 Дента</t>
  </si>
  <si>
    <t>Витамин В комплекс амп 2мл №10 М Р</t>
  </si>
  <si>
    <t>Витамин В6 1мл №5 Радикс</t>
  </si>
  <si>
    <t>Витамин Е "LIK" 0.2г №30</t>
  </si>
  <si>
    <t>Витамин-Е.Токоферола ацетат 10% 1мл №10</t>
  </si>
  <si>
    <t>Витапрост супп. рект. 10мг №10 Нижфарм</t>
  </si>
  <si>
    <t>Витапрост таб. 20мг №20 "Нижфарм"</t>
  </si>
  <si>
    <t>Витапрост Форте супп. 20мг №10 Нижфарм</t>
  </si>
  <si>
    <t>Витарим р-р д/ин. 2мл №5 (амп)</t>
  </si>
  <si>
    <t>Витаци капс №30</t>
  </si>
  <si>
    <t>Виусид пор.4.5г.№1</t>
  </si>
  <si>
    <t>Виферон гель гель  36000 МЕ/г 12г</t>
  </si>
  <si>
    <t>Виферон-1 (свечи 150000 МЕ) №10</t>
  </si>
  <si>
    <t>Виферон-3 супп. рект. 1000000МЕ №10</t>
  </si>
  <si>
    <t>Влажные Салфетки "LiLi" Эк/т №40</t>
  </si>
  <si>
    <t>Влажные Салфетки "Perla" №120 Ассортимент</t>
  </si>
  <si>
    <t>Влажные Салфетки "Perla" №15 Ассортимент</t>
  </si>
  <si>
    <t>Влажные Салфетки "Perla" №72 Ассортимент</t>
  </si>
  <si>
    <t>Вобензим  таб №20 Оргинал</t>
  </si>
  <si>
    <t>Вобилон капс 80мг №30</t>
  </si>
  <si>
    <t>Волвит таб.5мг№30</t>
  </si>
  <si>
    <t>Вольтарен Эмульгель гель 1% 100г</t>
  </si>
  <si>
    <t>Вольтарен Эмульгель гель 1% 20г</t>
  </si>
  <si>
    <t>Вольтарен Эмульгель гель 1% 50г</t>
  </si>
  <si>
    <t>Вольтарен Эмульгель гель 2% 100г</t>
  </si>
  <si>
    <t>Вольтарен Эмульгель гель 2% 50г</t>
  </si>
  <si>
    <t>Вольфуран таб 0,2г №14</t>
  </si>
  <si>
    <t>Враг Глист плюс сусп</t>
  </si>
  <si>
    <t>Враг грип кид капли 15мл</t>
  </si>
  <si>
    <t>Враг грип таб №4</t>
  </si>
  <si>
    <t>Враггдиарея таб №10</t>
  </si>
  <si>
    <t>Врагглист плюс таб. №1</t>
  </si>
  <si>
    <t>Враггрип капли назалные 10мл</t>
  </si>
  <si>
    <t>Враггрип плюс саше 5мг №10</t>
  </si>
  <si>
    <t>Врагдиарея сусп 60мл</t>
  </si>
  <si>
    <t>Гайнекс ваг.супп.500мг№14</t>
  </si>
  <si>
    <t>Гайнекс-Форте супп.750мг№7</t>
  </si>
  <si>
    <t>Галавит пор. д/ин. 100мг фл №5</t>
  </si>
  <si>
    <t>Галавит пор.д/ин.50мг №5</t>
  </si>
  <si>
    <t>Галавит супп. 50мг №5</t>
  </si>
  <si>
    <t>Галазолин 0,5% капли 10мл</t>
  </si>
  <si>
    <t>Галстена капли 20мл</t>
  </si>
  <si>
    <t>Гальвус МЕТ таб. 50мг/850мг №60</t>
  </si>
  <si>
    <t>Гальвус таб. 50мг №28</t>
  </si>
  <si>
    <t>Гамалате В6 р-р д/прим.внутрь 80мл</t>
  </si>
  <si>
    <t>Гаремагра 100мг №4 (Силденафил)</t>
  </si>
  <si>
    <t>Гаремагра 50мг №4 (Нижагара)</t>
  </si>
  <si>
    <t>Гастросидин - DF таблетки 40мг №10 Дента</t>
  </si>
  <si>
    <t>Гексосепт-РН свечи 16мг №10</t>
  </si>
  <si>
    <t>Гелмадол таб 200мг №2</t>
  </si>
  <si>
    <t>Гельминтокс 125мг №6 таб.</t>
  </si>
  <si>
    <t>Гельминтокс 125мг/2,5мл 15мл сусп.</t>
  </si>
  <si>
    <t>Гельминтокс 250мг №3 таб.</t>
  </si>
  <si>
    <t>Гематоген 40г  шоколадный</t>
  </si>
  <si>
    <t>Гематоген 40г йод</t>
  </si>
  <si>
    <t>Гематоген 40г с арахисом</t>
  </si>
  <si>
    <t>Гемозин капс  №20 Железа</t>
  </si>
  <si>
    <t>Гемонафф капс 400мг №30</t>
  </si>
  <si>
    <t>Геморронорм (БАД) 50мл</t>
  </si>
  <si>
    <t>Гемотран таб. 500мг №30</t>
  </si>
  <si>
    <t>Гентамицин 40мг 2мл №10 Дальхимфарм</t>
  </si>
  <si>
    <t>Гентамицин 40мг 2мл №10 Русс</t>
  </si>
  <si>
    <t>Гентамицин 80мг 2мл №10 МР</t>
  </si>
  <si>
    <t>Гентамицин мазь 0,1% 15гр Синтез</t>
  </si>
  <si>
    <t>Гентамицин-К 80мг/2мл №10 КРКА</t>
  </si>
  <si>
    <t>Генферон Лайт капли наз. 10000МЕ/мл+0,8мг/мл 10мл</t>
  </si>
  <si>
    <t>Генферон лайт спрей назал. 50000МЕ 100доз</t>
  </si>
  <si>
    <t>Генферон лайт супп. ваг./рект. 125000МЕ 5мг №10</t>
  </si>
  <si>
    <t>Генферон лайт супп. ваг./рект. 250000МЕ 5мг №10</t>
  </si>
  <si>
    <t>Генферон супп. ваг./рект. 1000000МЕ №10</t>
  </si>
  <si>
    <t>Генферон супп. ваг./рект. 500000МЕ №10</t>
  </si>
  <si>
    <t>Гепанафф капс 400мг №30</t>
  </si>
  <si>
    <t>Гепанол капс №30</t>
  </si>
  <si>
    <t>Гепанол плюс капс №30</t>
  </si>
  <si>
    <t>Гепанорм таб №80</t>
  </si>
  <si>
    <t>Гепарин 500ЕД 5мл №1 индия</t>
  </si>
  <si>
    <t>Гепарин 500ЕД 5мл №5 Белмед</t>
  </si>
  <si>
    <t>Гепарин мазь 25гр  Дента</t>
  </si>
  <si>
    <t>Гепариновая мазь 25г Белмедпрепараты</t>
  </si>
  <si>
    <t>Гепато-Риц капс №50</t>
  </si>
  <si>
    <t>Гепирид 1мг  таб. 1мг №30</t>
  </si>
  <si>
    <t>Гепирид 3 таблетки №30 Нобел_x001F__x001F_</t>
  </si>
  <si>
    <t>Гепирид 4 таблетки №30 Нобел</t>
  </si>
  <si>
    <t>Геполин капс №30</t>
  </si>
  <si>
    <t>Гептрал таб. 500мг №20</t>
  </si>
  <si>
    <t>Герал таб. 500мг №10</t>
  </si>
  <si>
    <t>Гербион сироп  первоцвета 150мл КРКА</t>
  </si>
  <si>
    <t>Гербион сироп  плюша 150мл КРКА</t>
  </si>
  <si>
    <t>Гербион сироп исландского мха 150мл КРКА</t>
  </si>
  <si>
    <t>Гербион сироп подорожника 150мл КРКА</t>
  </si>
  <si>
    <t>Герпевир мазь 2,5% 15г</t>
  </si>
  <si>
    <t>Герпевир таб 200мг №20</t>
  </si>
  <si>
    <t>Герпес-стоп крем 1% 10г</t>
  </si>
  <si>
    <t>Гетры эластичные R-№3 UNIVERSAL</t>
  </si>
  <si>
    <t>Гидрокартизон 2,5% 2мл №10 МР МР МР!!!</t>
  </si>
  <si>
    <t>Гидрокартизон крем 1% 10гр Вьетнам</t>
  </si>
  <si>
    <t>Гидрокортизон мазь 1% 10г Нижфарм</t>
  </si>
  <si>
    <t>Гидротен крем для наруж 5% 30г</t>
  </si>
  <si>
    <t>Гинекологич. Щетки. д/Цитолог.исс-й.Стерил.№1 Цервикальная Щ</t>
  </si>
  <si>
    <t>Гинко Магне В 6 таб №21</t>
  </si>
  <si>
    <t>Гино-Тардиферон таб. №30</t>
  </si>
  <si>
    <t>Гинсомин капс. №30</t>
  </si>
  <si>
    <t>Гиоксизон мазь 10г Дента</t>
  </si>
  <si>
    <t>Гиоксизон мазь 10г Русс</t>
  </si>
  <si>
    <t>Гиповин таб.300мг№6</t>
  </si>
  <si>
    <t>Гипотиазид таб. 100мг №20</t>
  </si>
  <si>
    <t>Гипотиазид таб. 25мг №20</t>
  </si>
  <si>
    <t>Гландин-Е2 вагин.таб.3мг№1</t>
  </si>
  <si>
    <t>Глиатилин капс 400мг №14</t>
  </si>
  <si>
    <t>Глиатилин р-р. д/ин. 1000мг/4мл №3</t>
  </si>
  <si>
    <t>Гликламид 1,75мг таб №50</t>
  </si>
  <si>
    <t>Глимепирид таб. 3мг №30 01,23</t>
  </si>
  <si>
    <t>Глистагон  плюс таб.  №1</t>
  </si>
  <si>
    <t>Глицевит таб №30</t>
  </si>
  <si>
    <t>Глицерин  2,11г рект с/в №10 Радикс</t>
  </si>
  <si>
    <t>Глицерин 90мл Shanaz Farm</t>
  </si>
  <si>
    <t>Глицерин косм  50мл Ромашка</t>
  </si>
  <si>
    <t>Глицерин космет.50мл№1</t>
  </si>
  <si>
    <t>Глицерин свечи рект. 1,24г №10 Радикс</t>
  </si>
  <si>
    <t>Глицерин свечи рект. 2,11г №10 Радикс</t>
  </si>
  <si>
    <t>Глицин 100мг таб №50 Дента</t>
  </si>
  <si>
    <t>Глицин Озон таб. 100мг №50</t>
  </si>
  <si>
    <t>Глобекс сироп 100мл</t>
  </si>
  <si>
    <t>Глутадин лиоф.пор.д/ин фл 600мг №10</t>
  </si>
  <si>
    <t>Глутион амп. 600мг №10, р-ль 4мл</t>
  </si>
  <si>
    <t>Глюкоза 40% 10мл №10 Дента</t>
  </si>
  <si>
    <t>Глюкоза 40% 10мл №10 Журабек</t>
  </si>
  <si>
    <t>Глюкотон таб. MR 30мг №30</t>
  </si>
  <si>
    <t>Глюкофаж таб. 1000мг №60</t>
  </si>
  <si>
    <t>Глюкофаж таб.500мг№60</t>
  </si>
  <si>
    <t>Глюкофаж таб.850мг№60</t>
  </si>
  <si>
    <t>Глютаминовая к-та таб. 0,25г №10</t>
  </si>
  <si>
    <t>Гопантомид таб 250мг №50 (Пантогам)</t>
  </si>
  <si>
    <t>Гопантомид таб 500мг №50 (Пантогам)</t>
  </si>
  <si>
    <t>Градусник</t>
  </si>
  <si>
    <t>Грамидин сперй 0,06мг+0,1мг 112дох</t>
  </si>
  <si>
    <t>Граммидин таб. детский №18!!!</t>
  </si>
  <si>
    <t>Граммидин-Нео с анестетиком таб.№18</t>
  </si>
  <si>
    <t>Грандаксин таб. 50мг N60</t>
  </si>
  <si>
    <t>Грандаксин таб. 50мг №20</t>
  </si>
  <si>
    <t>Гризеофульвин таб.125мг№40</t>
  </si>
  <si>
    <t>Грипго таб.№100 Грипп+ОРВИ</t>
  </si>
  <si>
    <t>Грипподез таб №10</t>
  </si>
  <si>
    <t>Грипподез таб №4</t>
  </si>
  <si>
    <t>Гриппостоп  апельсин порош №10</t>
  </si>
  <si>
    <t>Грипхот гранулы шип. №12</t>
  </si>
  <si>
    <t>Гроприносин  таб 500мг №50</t>
  </si>
  <si>
    <t>Гроприносин-Рихтер сироп 250мг/5мл 150мл</t>
  </si>
  <si>
    <t>Грудной-Эликсир 25мл№1</t>
  </si>
  <si>
    <t>Гулинекс капс №10 (Линекс) МР МР МР</t>
  </si>
  <si>
    <t>Гэк 200 р-р д/инф. 6% 250мл</t>
  </si>
  <si>
    <t>Д-Кальцин гранулы 75г №1</t>
  </si>
  <si>
    <t>Д-Кальцин гранулы 75г №1 Техно фарм</t>
  </si>
  <si>
    <t>Дамнол таб 500мг №50</t>
  </si>
  <si>
    <t>Двисустав саше №10 Д.Р. Редди'с</t>
  </si>
  <si>
    <t>Де-Нол 120мг №112 таб.</t>
  </si>
  <si>
    <t>Де-сиптол сусп 240млг/5мл 50мл Дента</t>
  </si>
  <si>
    <t>Де-Сиптол таб.0.48мг№20 Дента</t>
  </si>
  <si>
    <t>Дебара таб 0,25мг/0,03мг №20</t>
  </si>
  <si>
    <t>Дезеф сироп 2,5мл/5мл 50мл</t>
  </si>
  <si>
    <t>Дезеф-5 таб. 5мг №10</t>
  </si>
  <si>
    <t>Дезодорант "Dry Ru Roll" 50мл</t>
  </si>
  <si>
    <t>Дезодорант "Dry Ru Ultra" 50мл</t>
  </si>
  <si>
    <t>Дезрадин таб. 5мг №10</t>
  </si>
  <si>
    <t>Декарис таб. 150мг №1</t>
  </si>
  <si>
    <t>Декарис таб. 50мг №2</t>
  </si>
  <si>
    <t>Декасан МР амп 2мл №10 МР</t>
  </si>
  <si>
    <t>Декасан р-р 0,2мг/мл 200мл Юрия Фарм</t>
  </si>
  <si>
    <t>Деклосид крем 30г</t>
  </si>
  <si>
    <t>Декса Тобром 5мл №1</t>
  </si>
  <si>
    <t>Дексакорт глаз/ушн. кап.0,1%.5мл№1</t>
  </si>
  <si>
    <t>Дексамеазон капли  01% 5мл Дента</t>
  </si>
  <si>
    <t>Дексаметазон  гл.капли МР МР МР</t>
  </si>
  <si>
    <t>Дексаметазон  р-р д/иньек. 4мг/мл №25 КРКА</t>
  </si>
  <si>
    <t>Дексаметазон- амп.4мг/мл.1мл№25 Индия</t>
  </si>
  <si>
    <t>Дексаметазон-Аджио амп.4мг/мл.1мл№25!!</t>
  </si>
  <si>
    <t>Дексатобром гл. капли сусп. 5мл</t>
  </si>
  <si>
    <t>Дексерил крем 250г.№1</t>
  </si>
  <si>
    <t>Дематон В12 амп. 5мл №5</t>
  </si>
  <si>
    <t>Дематон Д  №1</t>
  </si>
  <si>
    <t>Дематон Т 10мл №1</t>
  </si>
  <si>
    <t>Денташан гель 25г</t>
  </si>
  <si>
    <t>Депакин сироп 150мл</t>
  </si>
  <si>
    <t>Дерилайф крем 0,05% 50г тубы</t>
  </si>
  <si>
    <t>Дермавайт мазь 0,05% 25гр Дента</t>
  </si>
  <si>
    <t>Дермавайт мазь 0,05% 25гр МР МР</t>
  </si>
  <si>
    <t>Дермазол ваг.супп.400мг№10</t>
  </si>
  <si>
    <t>Дермазол крем 30гр Кусум</t>
  </si>
  <si>
    <t>Дермазол Плюс шампунь  100мл</t>
  </si>
  <si>
    <t>Дермазол Плюс шампунь  50мл</t>
  </si>
  <si>
    <t>Дермазол шампунь 2% 100мл</t>
  </si>
  <si>
    <t>Дермазол шампунь 2% 8мл №20</t>
  </si>
  <si>
    <t>Дермазол шампунь 50мл</t>
  </si>
  <si>
    <t>Дермоклин крем 10г</t>
  </si>
  <si>
    <t>Детокс-пластырь Оки №10 (Kinoki)</t>
  </si>
  <si>
    <t>Детокс-пластырь Сарик №10 (Kinoki)</t>
  </si>
  <si>
    <t>Детралекс таб. 1000мг №30</t>
  </si>
  <si>
    <t>Детралекс таб. 500мг №30</t>
  </si>
  <si>
    <t>Детривелл спрей 10мл№1</t>
  </si>
  <si>
    <t>Детская присыпка  "Jonson baby" 50г</t>
  </si>
  <si>
    <t>Детская Присыпка  100г</t>
  </si>
  <si>
    <t>Детская Присыпка  30г</t>
  </si>
  <si>
    <t>Детская Присыпка  40г</t>
  </si>
  <si>
    <t>Детская Присыпка 20г</t>
  </si>
  <si>
    <t>Детская Присыпка сарик  50г</t>
  </si>
  <si>
    <t>Детский Калцо №1</t>
  </si>
  <si>
    <t>Детский крем   Алиса  50г 50г</t>
  </si>
  <si>
    <t>Детское совун  "BABY" 125г</t>
  </si>
  <si>
    <t>Дефилак сироп 200мл Дента</t>
  </si>
  <si>
    <t>Джетепар амп.10мл№5</t>
  </si>
  <si>
    <t>Джетепар амп.2мл№10</t>
  </si>
  <si>
    <t>Джиэмфит таб №30</t>
  </si>
  <si>
    <t>Диабетон МR таб. 60мг №30</t>
  </si>
  <si>
    <t>Диаглизид MR 30мг №60</t>
  </si>
  <si>
    <t>Диаглизид MR 60мг №30</t>
  </si>
  <si>
    <t>Диазолин 0,01г таб №10 Дента</t>
  </si>
  <si>
    <t>Диазолин 0,05г таб №10 Дента</t>
  </si>
  <si>
    <t>Диазолин 0,1г таб №10 Зуннур Фрм</t>
  </si>
  <si>
    <t>Диазолин 0,1г таб №10 М Р</t>
  </si>
  <si>
    <t>Диазолин 0,1г таб №10 Спринг Фарм</t>
  </si>
  <si>
    <t>Диазолин драже 0,1 №10 Farmak</t>
  </si>
  <si>
    <t>Диалин-м сусп внутрь 200мг/5мл 60мл №1</t>
  </si>
  <si>
    <t>Диалипон капс. 300мг №30</t>
  </si>
  <si>
    <t>Диалипон р-р д/и 3% 10мл №5</t>
  </si>
  <si>
    <t>Диалипон Турбо 1,2% 50мл №10</t>
  </si>
  <si>
    <t>Диаркал таб №30</t>
  </si>
  <si>
    <t>Диаформин таб, 1000 мг №60</t>
  </si>
  <si>
    <t>Дибазол амп 2% 2мл №10 М Р</t>
  </si>
  <si>
    <t>Дибазол таб 0,02г №10 Узхимфарм</t>
  </si>
  <si>
    <t>Диворм таб №60</t>
  </si>
  <si>
    <t>Дигоксин таб. 0,25мг №50 Здоровье</t>
  </si>
  <si>
    <t>Диклоберл N 75мг/3мл №5 Берлин Хеми</t>
  </si>
  <si>
    <t>Диклоберл ретард 100 мг №20</t>
  </si>
  <si>
    <t>Диклобирил-МR 75мг/3мл №5_x001F__x001F_</t>
  </si>
  <si>
    <t>Диклобраун 25мг амп 3мл №5</t>
  </si>
  <si>
    <t>Диклосейф с/в 100мг №10</t>
  </si>
  <si>
    <t>Диклосейф.Макс гель 30г.№1</t>
  </si>
  <si>
    <t>Диклотол таб. 100мг №30</t>
  </si>
  <si>
    <t>Диклофенак 100мг с/в №10 Дента</t>
  </si>
  <si>
    <t>Диклофенак 100мг с/в №10 МР МР</t>
  </si>
  <si>
    <t>Диклофенак 100мг супп. рект №10 Дальхимфарм</t>
  </si>
  <si>
    <t>Диклофенак 2,5% 3мл №10 МР</t>
  </si>
  <si>
    <t>Диклофенак 2,5% 3мл №10 Русс</t>
  </si>
  <si>
    <t>Диклофенак маз 10% 30гр Дента</t>
  </si>
  <si>
    <t>Диклофенак натрия мазь 10мг 30г Русс</t>
  </si>
  <si>
    <t>Диклофенак таб 50мг №10 Ново Фарм (Диклофлам)</t>
  </si>
  <si>
    <t>Диклофенак-Акос 25мг/мл 3мл №5</t>
  </si>
  <si>
    <t>Димакс кид сус 60мл</t>
  </si>
  <si>
    <t>Димедрол таб.100мг№10 УЗБ</t>
  </si>
  <si>
    <t>Димексид водный р-р 50% сред.дезинф 50 мл</t>
  </si>
  <si>
    <t>Димексид р-р 50% сред.дезинф 50 мл</t>
  </si>
  <si>
    <t>Динапар AQ р-р 75мг/мл по 1мл №5</t>
  </si>
  <si>
    <t>Динапар Gel гель 30г</t>
  </si>
  <si>
    <t>Динапар спрей 15мл</t>
  </si>
  <si>
    <t>Динапар таб №100 Малика Фарм ( ДипарМал )</t>
  </si>
  <si>
    <t>Динапар таб. 50мг+325мг №10</t>
  </si>
  <si>
    <t>Динар р-р д/ин.50мг 5мл №10</t>
  </si>
  <si>
    <t>Дипновет мазь 20г</t>
  </si>
  <si>
    <t>Дипросалик мазь 30г</t>
  </si>
  <si>
    <t>Дипроспан для ин. 1мл №5 МР МР</t>
  </si>
  <si>
    <t>Дипроспан сусп. в амп. 1мл №5 Schering Plough</t>
  </si>
  <si>
    <t>Диротон таб. 10мг №28</t>
  </si>
  <si>
    <t>Диротон таб. 5мг №28</t>
  </si>
  <si>
    <t>Диротон таб.20мг№28</t>
  </si>
  <si>
    <t>Дисоль р-р.инф.250мл  МР МР МР</t>
  </si>
  <si>
    <t>Дистофен гель 25г</t>
  </si>
  <si>
    <t>Дистрептаза супп.рек.№6</t>
  </si>
  <si>
    <t>Дицинон 250мг 2мл №10 Лек</t>
  </si>
  <si>
    <t>Дицинон 250мг МР 2мл №10 МР</t>
  </si>
  <si>
    <t>Доксилан таблетки 100мг №10</t>
  </si>
  <si>
    <t>Доктор Мом мазь 20г</t>
  </si>
  <si>
    <t>Долгит крем 20г Dolorgiet GMBH</t>
  </si>
  <si>
    <t>Долекс таб.№100.</t>
  </si>
  <si>
    <t>Допрокин -С сусп.д/приема внутрь 60мл.флак.№1</t>
  </si>
  <si>
    <t>Допрокин табл. 10мг. №20</t>
  </si>
  <si>
    <t>Дофек гель наруж 30г (Диклофенак) Индия</t>
  </si>
  <si>
    <t>Драстоп р-р д/и 200мг/2мл №10</t>
  </si>
  <si>
    <t>Дриптан 5мг №30</t>
  </si>
  <si>
    <t>ДРЙ ДРЙ  шариковый</t>
  </si>
  <si>
    <t>ДРЙ ДРЙ classic учи гупкали</t>
  </si>
  <si>
    <t>ДРЙ ДРЙ Foot Sprey спрейли</t>
  </si>
  <si>
    <t>Дро-шпа таб 40мг №50 Дента</t>
  </si>
  <si>
    <t>Дропофенак капли глазные 0,1% 5мл</t>
  </si>
  <si>
    <t>Дуо Клав Сус 125 мг 60мл</t>
  </si>
  <si>
    <t>Дуо Клав Сус 250 мг 60мл</t>
  </si>
  <si>
    <t>Дуовит драже №40</t>
  </si>
  <si>
    <t>Дусконал капс ретард 200мг №30</t>
  </si>
  <si>
    <t>Дуфалак сироп  200мл М Р_x001F__x001F_</t>
  </si>
  <si>
    <t>Дюспаталин 200мг №30 ABBOTT</t>
  </si>
  <si>
    <t>Дюспаталин капс 200мг №30 МР МР МР</t>
  </si>
  <si>
    <t>Дюфалак 200мл Аббот</t>
  </si>
  <si>
    <t>Дюфалак саше 667мг/мл 15мл №10</t>
  </si>
  <si>
    <t>Дюфастон таб. 10мг №20</t>
  </si>
  <si>
    <t>Жемчужный кальций капс.№30</t>
  </si>
  <si>
    <t>Женавит капс 100мг №30</t>
  </si>
  <si>
    <t>Женагра 50мг таб №4</t>
  </si>
  <si>
    <t>Женский Крем-Депилятор Eclair  125мл</t>
  </si>
  <si>
    <t>Женский Крем-Депилятор Eclair  75мл</t>
  </si>
  <si>
    <t>Женский прокладка  №10  Атиргул Классик</t>
  </si>
  <si>
    <t>Женский прокладка  №10 "Arzoni"</t>
  </si>
  <si>
    <t>Женский прокладка  №10 MAYA классик</t>
  </si>
  <si>
    <t>Жидкий Мило "AC BOSMA" 400мл</t>
  </si>
  <si>
    <t>Жидкий Мило "Eclair" 500мл</t>
  </si>
  <si>
    <t>Занофлокс-Оз таб №30</t>
  </si>
  <si>
    <t>Звездочка Дуо Лор спрей.1,2мг/мл+1,5мг/мл. 30мл</t>
  </si>
  <si>
    <t>Звездочка ЛОР 15% 30мл</t>
  </si>
  <si>
    <t>Звездочка Ноз спрей наз. 0,1% 15мл</t>
  </si>
  <si>
    <t>Зедпар гель 30 г</t>
  </si>
  <si>
    <t>Зеленка 1% 20мл Дента</t>
  </si>
  <si>
    <t>Зентел таб 400мг  №1</t>
  </si>
  <si>
    <t>Зералго таб. 100мг №15</t>
  </si>
  <si>
    <t>Зериколд-П таб №10</t>
  </si>
  <si>
    <t>Зеркало гинекологический</t>
  </si>
  <si>
    <t>Зесткал сусп.вкус.Клубники 200мл№1</t>
  </si>
  <si>
    <t>Зеталин р-р д/инекьций 1000мг/4мл 4мл №5</t>
  </si>
  <si>
    <t>Зеталин р-р Инекций 500мг/2мл</t>
  </si>
  <si>
    <t>Зефексал 120мг таб №20</t>
  </si>
  <si>
    <t>Зефексал таб.180мг№20</t>
  </si>
  <si>
    <t>Зилк Кидс саше №30 Малика Фарм</t>
  </si>
  <si>
    <t>Зилт 75мг №28 КРКА</t>
  </si>
  <si>
    <t>Зим капс.№30</t>
  </si>
  <si>
    <t>Зинерин(Зинерит)Адапален лосьон 35мл№1</t>
  </si>
  <si>
    <t>Зиомицин 250мг таб №6</t>
  </si>
  <si>
    <t>Зиромин таб 500мг №3 (Азитромицин)</t>
  </si>
  <si>
    <t>Зитмак 500мг таб №6 Нобел</t>
  </si>
  <si>
    <t>Зитмак пор 15мл 200мг/мл дляприг сусп 16г</t>
  </si>
  <si>
    <t>Зитмак пор 20мл 100мг/мл дляприг сусп 19г</t>
  </si>
  <si>
    <t>Зодак 10мг таб №10  МР МР</t>
  </si>
  <si>
    <t>Золопент 40мг таб №30</t>
  </si>
  <si>
    <t>Зорасен 100мг капс №30</t>
  </si>
  <si>
    <t>Зорасен 25мг капс №30</t>
  </si>
  <si>
    <t>Зосидокс 2 таб 2мг №30</t>
  </si>
  <si>
    <t>Зосидокс 4 таб 4мг №30</t>
  </si>
  <si>
    <t>Зубная паста "Солгет TOTAL" 100гр</t>
  </si>
  <si>
    <t>Зубная паста "Солгет тройное действие 154гр</t>
  </si>
  <si>
    <t>Зубная Паста DIROL  лимон 105гр</t>
  </si>
  <si>
    <t>Зугрел таб.10мг№20</t>
  </si>
  <si>
    <t>Зумм-25 гран. д/приг. р-ра 25мг №10 (пакетики)</t>
  </si>
  <si>
    <t>Зумм-25 таб. 25мг №10</t>
  </si>
  <si>
    <t>Зуфон сироп 100мл</t>
  </si>
  <si>
    <t>Ибра таб. №30</t>
  </si>
  <si>
    <t>Ибуклин Актив таб. №20</t>
  </si>
  <si>
    <t>Ибуклин таб. 400мг/325мг №20</t>
  </si>
  <si>
    <t>Ибуклин Юниор таб. 100мг/125мг. №20</t>
  </si>
  <si>
    <t>Ибупрофен сусп 100мг/5мл 100мл Дента</t>
  </si>
  <si>
    <t>Ибупрофен сусп 100мг/5мл 50мл Дента</t>
  </si>
  <si>
    <t>Ибуфлекс 400мг таб №10</t>
  </si>
  <si>
    <t>Изапим пор лиоф 2мл №3</t>
  </si>
  <si>
    <t>Изее-5 сироп 200мл №1</t>
  </si>
  <si>
    <t>Изитрофен Форте р-р д/инф 0,5мг/мл 100мл</t>
  </si>
  <si>
    <t>Изифер 100 сироп</t>
  </si>
  <si>
    <t>Изониазид 200мг таб №50</t>
  </si>
  <si>
    <t>Изониазид таб. 300мг №10 O'zkimyofarm AJ</t>
  </si>
  <si>
    <t>Иммуно-Салб №30 кап</t>
  </si>
  <si>
    <t>Иммуномодулин 0,01% амп 1мл №10</t>
  </si>
  <si>
    <t>Имодиум 2мг капс. №20</t>
  </si>
  <si>
    <t>Импаза таб. №20</t>
  </si>
  <si>
    <t>Имун конц. д/инф. 10г/50мл</t>
  </si>
  <si>
    <t>Ингавирин капс. 60мг №7</t>
  </si>
  <si>
    <t>Ингавирин капс. 90мг №7</t>
  </si>
  <si>
    <t>Ингалипт 30мл аэрозоль АЛТАЙВИТАМИНЫ</t>
  </si>
  <si>
    <t>Ингалипт спрей 20мл Техно фарм</t>
  </si>
  <si>
    <t>Ингалипт спрей ASP 20мл №1 Асептика</t>
  </si>
  <si>
    <t>Индап кап. 2,5 мг №30</t>
  </si>
  <si>
    <t>Индомеатцин мазь 10% 30г МР</t>
  </si>
  <si>
    <t>Индометацин мазь 10% 40г Борисовский</t>
  </si>
  <si>
    <t>Индометацин мазь 10% 40г Русс!!!</t>
  </si>
  <si>
    <t>Индометацин супп 100мг Дента №10 Дента</t>
  </si>
  <si>
    <t>Индометацин таб 25мг №30 Софарма</t>
  </si>
  <si>
    <t>Индометацин-супп.рек. 50мг №10 Фармаприм</t>
  </si>
  <si>
    <t>Иннофенак 75 мг/мл 1 мл амп №5</t>
  </si>
  <si>
    <t>Иномед сусп. д/приём 100мг/5мл.100мл№1 Клубники</t>
  </si>
  <si>
    <t>Иномед сусп. д/приём 100мг/5мл.100мл№1 Мультифрукт</t>
  </si>
  <si>
    <t>Иноседа  таблетки 500 мг №20</t>
  </si>
  <si>
    <t>Иноседа сироп 250мг/5мл 120мл №1</t>
  </si>
  <si>
    <t>Инстаклоп таб. 75мг №30</t>
  </si>
  <si>
    <t>Инсти гранулы для детей №5</t>
  </si>
  <si>
    <t>Инсти гранулы травяные №5!!!</t>
  </si>
  <si>
    <t>Инсти-Мал №5 Порошок Malika laboratories_x001F__x001F_</t>
  </si>
  <si>
    <t>Инсуприд таб. 2мг №30</t>
  </si>
  <si>
    <t>Инсуфор таб 1000мг №30</t>
  </si>
  <si>
    <t>Инсуфор таб. 500мг №30</t>
  </si>
  <si>
    <t>Интеллан капс. №20</t>
  </si>
  <si>
    <t>Интеллан сироп 90мл</t>
  </si>
  <si>
    <t>Интру-Салб капс №30</t>
  </si>
  <si>
    <t>Инфезол МР 40 раствор для инфузий 250 мл</t>
  </si>
  <si>
    <t>Инфулган р-р 100мл Юрий</t>
  </si>
  <si>
    <t>Ипроид Антигеморроидальная маз 15г</t>
  </si>
  <si>
    <t>Ипроид свечи Антигеморроидальные №10</t>
  </si>
  <si>
    <t>Ирамокс капс 500мг №100</t>
  </si>
  <si>
    <t>Ирбесан 150мг таб №28 Нобел</t>
  </si>
  <si>
    <t>Ирбесан 300мг таб №28 Нобел</t>
  </si>
  <si>
    <t>Исирик 7мг №14</t>
  </si>
  <si>
    <t>Итомед таб.50мг№20 №20 №20</t>
  </si>
  <si>
    <t>Итомед таб.50мг№40 №40 №40</t>
  </si>
  <si>
    <t>Ихтиол  супп 0,2г  №10 Нижфарм</t>
  </si>
  <si>
    <t>Ихтиол мазь 200мг/г 25г Борисовский</t>
  </si>
  <si>
    <t>Ихтиоловая мазь 10%.25г.№1 Remedy СП ООО</t>
  </si>
  <si>
    <t>Ихтиоловая мазь 10%.25г.№1 Ziyo Nur Farm</t>
  </si>
  <si>
    <t>Ихтиоловые мазь 25г Дента</t>
  </si>
  <si>
    <t>Ихтиоловые мазь 25г МР МР</t>
  </si>
  <si>
    <t>Ишагра-100мг таб №4</t>
  </si>
  <si>
    <t>Ишалив Сироп 200мл</t>
  </si>
  <si>
    <t>Йод 5%.20мл.№1 PHARMACOM MEDICINE</t>
  </si>
  <si>
    <t>Йод.АСК таб.100мкг№100 Калия йодида</t>
  </si>
  <si>
    <t>Йод.АСК таб.200мкг№100 Калия йодида</t>
  </si>
  <si>
    <t>Йодамарин 100 таб №100 Берлин Хеми!!!</t>
  </si>
  <si>
    <t>Йодамарин 200 таб №100 Берлин Хеми!!!</t>
  </si>
  <si>
    <t>Йодамарин 200мг таб №100 Малика Фарм</t>
  </si>
  <si>
    <t>Йодострим таб №60</t>
  </si>
  <si>
    <t>Кавинтон КOМФОРТЕ таб. 10мг N30</t>
  </si>
  <si>
    <t>Кавинтон р-р д/ин. 10мг 2мл №10</t>
  </si>
  <si>
    <t>Кавинтон р-р д/ин. 25мг 5мл №10</t>
  </si>
  <si>
    <t>Калгель гель 0.33%.10г</t>
  </si>
  <si>
    <t>Калий хлор 40мг 10мл №10 Дента</t>
  </si>
  <si>
    <t>Калия хлорид амп. 4% 10мл №10 Русс</t>
  </si>
  <si>
    <t>Калций Д3 капс №50 Техно Фарм  02,23</t>
  </si>
  <si>
    <t>Кальций глюконат 10% 10мл №10 Журабек</t>
  </si>
  <si>
    <t>Кальций глюконат 10% 10мл №10 Русс</t>
  </si>
  <si>
    <t>Кальций глюконат 10% 5мл №10 МР</t>
  </si>
  <si>
    <t>Кальций Д3 таб №50 (Супер) Дора лине</t>
  </si>
  <si>
    <t>Кальций-Д3 Никомед 500мг/200МЕ №100</t>
  </si>
  <si>
    <t>Кальций-Д3 Никомед 500мг/400МЕ №120 (лимон)</t>
  </si>
  <si>
    <t>Кальцимед-D3+со вкус.Клубника.таб.№100</t>
  </si>
  <si>
    <t>Кальципринг Д3 SP 400мг таб №50  Спринг Фарм</t>
  </si>
  <si>
    <t>Кальцифар Д3 400мг таб №50</t>
  </si>
  <si>
    <t>Кальция  хлорид амп 10% 10мл №10 Русс</t>
  </si>
  <si>
    <t>Кальция глюконат таб. 500мг №10 Русс</t>
  </si>
  <si>
    <t>Камагра таб.100мг№4 Силденафил</t>
  </si>
  <si>
    <t>Камагра таб.50мг№4 Силденафил</t>
  </si>
  <si>
    <t>Камелот таб. 15мг №20</t>
  </si>
  <si>
    <t>Камистад гель 10г</t>
  </si>
  <si>
    <t>Камкор 5мг таб №30 МР (Конкор)</t>
  </si>
  <si>
    <t>Камфора  масляний 10%  25мл Дента</t>
  </si>
  <si>
    <t>Камфора р-р спиртовый 10% 20мл№1</t>
  </si>
  <si>
    <t>Камфорная мазь 10%.25г.№1 Remedy СП ООО</t>
  </si>
  <si>
    <t>Кандибиотик уш.капли 5мл Glenmark</t>
  </si>
  <si>
    <t>Кандиваг таб. ваг. №8</t>
  </si>
  <si>
    <t>Кандиго крем ваг. 10% 7гр. №1</t>
  </si>
  <si>
    <t>Кандиго с/в 100мг №6</t>
  </si>
  <si>
    <t>Канеферон Н драже №60!!!</t>
  </si>
  <si>
    <t>Канефрон Н р-р 100мл</t>
  </si>
  <si>
    <t>Каниферол Н таб №75 Малика Фарм</t>
  </si>
  <si>
    <t>Канифрон Таб №60 SP Спринг Фарм</t>
  </si>
  <si>
    <t>Капсикам мазь 50г</t>
  </si>
  <si>
    <t>Каптоприл 0,025г. №40 Русс</t>
  </si>
  <si>
    <t>Карбалекс таб. 200мг №50</t>
  </si>
  <si>
    <t>Карбамазепин GT таб. 200мг №50</t>
  </si>
  <si>
    <t>Карбамазепин-Синтез  таб 200мг №50</t>
  </si>
  <si>
    <t>Каргрип таб.№10 Грипп+ОРЗ</t>
  </si>
  <si>
    <t>Кардива таб 12,5мг №28</t>
  </si>
  <si>
    <t>Кардива таб.25мг№28</t>
  </si>
  <si>
    <t>Кардиоассист №60</t>
  </si>
  <si>
    <t>Кардиомагнил таб 75мг+15,2мг №50 М Р</t>
  </si>
  <si>
    <t>Кардитон д/пр. внутрь фл 1г/10мл №10</t>
  </si>
  <si>
    <t>Кардосал таб 20мг №28</t>
  </si>
  <si>
    <t>Карипазим лиоф. для приг. р-р 350ПЕ 10мл</t>
  </si>
  <si>
    <t>Карнис 120мл сироп для детей</t>
  </si>
  <si>
    <t>Карнит р-р д/ин 5мл №5</t>
  </si>
  <si>
    <t>Карсил таб. №80</t>
  </si>
  <si>
    <t>Карсил форте кап. 90мг №30</t>
  </si>
  <si>
    <t>Картан 1г/10мл №10</t>
  </si>
  <si>
    <t>Картан 1г/5мл №5</t>
  </si>
  <si>
    <t>Картил супер крем 50г</t>
  </si>
  <si>
    <t>Катаксол 0,15% 15мл гл капли</t>
  </si>
  <si>
    <t>Катаракс гл/капли 0,015% 15мл</t>
  </si>
  <si>
    <t>Катетер Бабочка 19G KD-FLY</t>
  </si>
  <si>
    <t>Катетер Бабочка 20G KD-FLY</t>
  </si>
  <si>
    <t>Катетер Бабочка 22G KD-FLY</t>
  </si>
  <si>
    <t>Квамател таб 20мг №28</t>
  </si>
  <si>
    <t>Квамател таб. 40мг №14</t>
  </si>
  <si>
    <t>Кванил амп 1000мг/4мл №5</t>
  </si>
  <si>
    <t>Кванил р-р д/инъек.500мг 4мл №5</t>
  </si>
  <si>
    <t>Кванил таб 500мг №10</t>
  </si>
  <si>
    <t>Кейвер амп. р-р 50мг/2мл №10 Фармак</t>
  </si>
  <si>
    <t>Кеналог 40мг/1мл №5</t>
  </si>
  <si>
    <t>Кератон гл капли 10мл</t>
  </si>
  <si>
    <t>Кетазид раствор д ин 50мг/2мл №5</t>
  </si>
  <si>
    <t>Кетап таб. 25мг №30</t>
  </si>
  <si>
    <t>Кетонал DUO капс. 150мг №30</t>
  </si>
  <si>
    <t>Кетонал гель 2,5% 50г Лек</t>
  </si>
  <si>
    <t>Кетонал капс. 50мг №25</t>
  </si>
  <si>
    <t>Кетонал крем 5% 30г Лек</t>
  </si>
  <si>
    <t>Кетонал супп. 100мг №12 Лек</t>
  </si>
  <si>
    <t>Кетопрофен гель д/наруж. 2,5% 30г</t>
  </si>
  <si>
    <t>Кетопрофен р-р  50мг/мл 2мл №10 Русс</t>
  </si>
  <si>
    <t>Кеторол гель 2% 30г.</t>
  </si>
  <si>
    <t>Кеторолак р-р 30мг/мл 1мл №10 Русс</t>
  </si>
  <si>
    <t>Кетотифен таб.1мг№30 Русс</t>
  </si>
  <si>
    <t>Кефентек 10см*7см №7</t>
  </si>
  <si>
    <t>Кидникет таб. №50</t>
  </si>
  <si>
    <t>Кислоноль гпан шип 5г №10</t>
  </si>
  <si>
    <t>Китанал  100мг/2мл   №10 МР_x001F__x001F_</t>
  </si>
  <si>
    <t>Китонал гель 2,5% 30г М Р_x001F__x001F_</t>
  </si>
  <si>
    <t>Клабел сусп 250мг/70мл Нобел</t>
  </si>
  <si>
    <t>Клабел таб. 500мг №14</t>
  </si>
  <si>
    <t>Клайра таб. №28</t>
  </si>
  <si>
    <t>Кламок таб.375мг№15</t>
  </si>
  <si>
    <t>Кларанта таб.500мг№14 Кларитромицин</t>
  </si>
  <si>
    <t>Кларидол сироп 100мл (Лоратадин)</t>
  </si>
  <si>
    <t>Клацид SR 500мг №14</t>
  </si>
  <si>
    <t>Клевикс Ультра 75мг таб №30</t>
  </si>
  <si>
    <t>Клексан 6000 0,6 мл №2</t>
  </si>
  <si>
    <t>Клексан 8000 0,8 мл №1</t>
  </si>
  <si>
    <t>Климадинон капли 50мл</t>
  </si>
  <si>
    <t>Климадинон таб. №60</t>
  </si>
  <si>
    <t>Климаксан гомеоп гран.10г</t>
  </si>
  <si>
    <t>Климаксан таб. №20</t>
  </si>
  <si>
    <t>Клинизол вагин.капс 100/100/100мг№7</t>
  </si>
  <si>
    <t>Клининг-Энема120мл№1</t>
  </si>
  <si>
    <t>Клион Д ваг. таб. 100мг №10</t>
  </si>
  <si>
    <t>Кловейт крем 0,05% 25г</t>
  </si>
  <si>
    <t>Клодифен  Нейро капс №30</t>
  </si>
  <si>
    <t>Клодифен  р-р д/и 75мг/3мл. №5</t>
  </si>
  <si>
    <t>Клодифен гель 5% 45г №1</t>
  </si>
  <si>
    <t>Клодифен гл капли 0,1% 5мл</t>
  </si>
  <si>
    <t>Кломед-G крем 15г</t>
  </si>
  <si>
    <t>Клопидогрел таб. 75мг №30 Радикс</t>
  </si>
  <si>
    <t>Клопицин 75мг таб №30</t>
  </si>
  <si>
    <t>Клостилбегит таб. 50мг №10</t>
  </si>
  <si>
    <t>Клотримазол 1% 15мл №1</t>
  </si>
  <si>
    <t>Клотримазол 1% мазь 25г Дента</t>
  </si>
  <si>
    <t>Клотримазол 1% мазь 25г М Р_x001F__x001F_</t>
  </si>
  <si>
    <t>Клотримазол 100мг с/в №10 Дента</t>
  </si>
  <si>
    <t>Клотримазол мазь 1% 20г. Русс</t>
  </si>
  <si>
    <t>Клофит таб.50мг№24</t>
  </si>
  <si>
    <t>КМА 250мл  МР</t>
  </si>
  <si>
    <t>Ко-Амлесса 4мг/10мг/1,25мг №30</t>
  </si>
  <si>
    <t>Ко-Амлесса 4мг/5мг/1,25мг №30</t>
  </si>
  <si>
    <t>Ко-Амлесса 8мг/10мг/2,5мг №30</t>
  </si>
  <si>
    <t>Ко-Амлесса 8мг/5мг/2,5мг №30</t>
  </si>
  <si>
    <t>Ко-Валодип таб. 10мг/160мг/12,5мг №30 КРКА</t>
  </si>
  <si>
    <t>Ко-Валодип таб. 5мг/160мг/12,5мг №30</t>
  </si>
  <si>
    <t>Ко-Пренесса таб. 4мг/1,25мг №30</t>
  </si>
  <si>
    <t>Ко-Пренесса таб. 8мг/2,5мг №30</t>
  </si>
  <si>
    <t>Кобавит таб 0,01 №30</t>
  </si>
  <si>
    <t>Коделак Бронхо эликсир (чабрец) 100мл</t>
  </si>
  <si>
    <t>Коделак Нео таб. №10</t>
  </si>
  <si>
    <t>Коензим Q-10 Maxx капс №40</t>
  </si>
  <si>
    <t>Кокарбоксилазы г/х. 50мг в амп. №10 Микроген</t>
  </si>
  <si>
    <t>Кокарнит лиоф.пор.+раств.№3</t>
  </si>
  <si>
    <t>Колефер  капли д/приёма внутрь 10мл №1</t>
  </si>
  <si>
    <t>Коликид 125мг таб №30</t>
  </si>
  <si>
    <t>Колтрол таб, 20мг №30 01,23</t>
  </si>
  <si>
    <t>Комбисол р-р д/инф. 100мл</t>
  </si>
  <si>
    <t>Комбисол р-р д/инф. 200мл</t>
  </si>
  <si>
    <t>Компливит №60 таб.</t>
  </si>
  <si>
    <t>Компливит кальций Д3 таб. №100 (апельсин)</t>
  </si>
  <si>
    <t>Комплигам В амп. 2мл №10</t>
  </si>
  <si>
    <t>Комплигам В раствор 2мл №10</t>
  </si>
  <si>
    <t>Конвулекс  капс 300мг №100</t>
  </si>
  <si>
    <t>Конвулекс  капс 500мг №100</t>
  </si>
  <si>
    <t>Конвулекс 150мг капс. №100</t>
  </si>
  <si>
    <t>Конвулекс сироп 50мг/мл 100 мл</t>
  </si>
  <si>
    <t>Конвулекс таб 500мг №50</t>
  </si>
  <si>
    <t>Конкор таб. 10мг №50</t>
  </si>
  <si>
    <t>Конкор таб.5мг№50</t>
  </si>
  <si>
    <t>Конкор-Кор таб 2.5мг№30</t>
  </si>
  <si>
    <t>Контрактубекс 20 гель №1</t>
  </si>
  <si>
    <t>Конфундус таб. 25мг/250мг №100</t>
  </si>
  <si>
    <t>Копулин таб 500мг №50</t>
  </si>
  <si>
    <t>Кора Седана капс №120 Ал медина</t>
  </si>
  <si>
    <t>Кора Седана капс №99 As-sunna</t>
  </si>
  <si>
    <t>Кораксан 5мг №56</t>
  </si>
  <si>
    <t>Кораксан 7,5мг №56</t>
  </si>
  <si>
    <t>Корвалол 25мл Усолье</t>
  </si>
  <si>
    <t>Корвалол таб. №30</t>
  </si>
  <si>
    <t>Кордарон таб. 200мг №30</t>
  </si>
  <si>
    <t>Короним таб.10мг№30</t>
  </si>
  <si>
    <t>Кортел Н-40 таб. 40мг/12,5мг №28</t>
  </si>
  <si>
    <t>Кортел Трио таб. №30</t>
  </si>
  <si>
    <t>Кортел-А таб 40мг/5мг №30</t>
  </si>
  <si>
    <t>Костарокс таб. п/о 60мг N28</t>
  </si>
  <si>
    <t>Костарокс таб. п/о 90мг N28</t>
  </si>
  <si>
    <t>Крем DOVE банкали 75мл</t>
  </si>
  <si>
    <t>Крем для лица "Огуречный" 125 мл</t>
  </si>
  <si>
    <t>Крем для Лица"козье молоко" 125 мл</t>
  </si>
  <si>
    <t>Крем из масла зимеи 100г</t>
  </si>
  <si>
    <t>Крем солничний SPF35 мини 60мл</t>
  </si>
  <si>
    <t>Креон капс 10000 №20!!!</t>
  </si>
  <si>
    <t>Креон капс 25000 №20 ABBOTT</t>
  </si>
  <si>
    <t>Кромовиз гл капли 4,0% 10мл</t>
  </si>
  <si>
    <t>Ксилазол назал спрей 0,5/50мг 10мл №1</t>
  </si>
  <si>
    <t>Ксилазол назал спрей 1,0/50мг\мл 10мл №1</t>
  </si>
  <si>
    <t>Ксилат р-р.инф.200мл№1 Юрия</t>
  </si>
  <si>
    <t>Кука сироп от Кашля 100мл№1</t>
  </si>
  <si>
    <t>Куленто таблетки 10мг № 28</t>
  </si>
  <si>
    <t>Куленто таблетки 5 мг №28</t>
  </si>
  <si>
    <t>Курантил N25 таб. №50 МР МР МР</t>
  </si>
  <si>
    <t>Курантил таб 25мг №120 Берлин Хеми</t>
  </si>
  <si>
    <t>Куриозин гель 15г №1</t>
  </si>
  <si>
    <t>Кюпен таб №100!!!</t>
  </si>
  <si>
    <t>Кюпен Форте гл. кап. 0,5% 5мл</t>
  </si>
  <si>
    <t>КюпенSmile сусп.100мг/5мл/100мл№1</t>
  </si>
  <si>
    <t>Кюразит капс. 500мг №3</t>
  </si>
  <si>
    <t>Кюсид Бэби сусп 30мл</t>
  </si>
  <si>
    <t>Л Монтус взр таб. 5мг/10мг №10</t>
  </si>
  <si>
    <t>Л-оптик гл.капли 0,5% 5мл</t>
  </si>
  <si>
    <t>Лабтоцин р-р для инъекций 5МЕ/мл 1мл №10</t>
  </si>
  <si>
    <t>Лагохин таб №80</t>
  </si>
  <si>
    <t>Лайботен Лиоф 1,0г</t>
  </si>
  <si>
    <t>Лакома-Т гл. капли 2,5мл</t>
  </si>
  <si>
    <t>Лакто-G капс. №10</t>
  </si>
  <si>
    <t>Лакто-G капс. №10 Малика Фарм</t>
  </si>
  <si>
    <t>Лактофильтрум таб.№60</t>
  </si>
  <si>
    <t>Ламизил крем 1% 15гр. №1</t>
  </si>
  <si>
    <t>Лангена капс №30</t>
  </si>
  <si>
    <t>Ларфикс таб 8мг №30</t>
  </si>
  <si>
    <t>Латрен р-р.инф.200мл№1 Юрия</t>
  </si>
  <si>
    <t>Латригал жев таб 100мг №30</t>
  </si>
  <si>
    <t>Лацидофорте капсулы №10</t>
  </si>
  <si>
    <t>Леваметил мазь 30г Зеленая Дубрава</t>
  </si>
  <si>
    <t>Левамикдол мазь 30гр Дента</t>
  </si>
  <si>
    <t>Левамикол-МР мазь 30г МР</t>
  </si>
  <si>
    <t>Леватин  инф 500мг/100мл по 100мл 01,23</t>
  </si>
  <si>
    <t>Левомак таб 500мг №5 МР</t>
  </si>
  <si>
    <t>Левомицетин  таб 500мг №10 Вьетнам</t>
  </si>
  <si>
    <t>Левомицетин гл/капли 0,25% 10мл Русс</t>
  </si>
  <si>
    <t>Левомицетин капли МР 0,25% 5мл №1 МР МР</t>
  </si>
  <si>
    <t>Левомицетин пор. д/инъекц. 1г</t>
  </si>
  <si>
    <t>Левомицетин р-р спиртовой 0,25% 25мл</t>
  </si>
  <si>
    <t>Левон-250 таб. 250мг №10</t>
  </si>
  <si>
    <t>Левон-500 таб. 500мг №5</t>
  </si>
  <si>
    <t>Леворекс 250мг таб №5</t>
  </si>
  <si>
    <t>Левосер р-р 500мг 100мл №1 (Левофлоксацин)</t>
  </si>
  <si>
    <t>Левофаст инф 500мг/100мл по 100мл</t>
  </si>
  <si>
    <t>Левофев таб. 500мг №5</t>
  </si>
  <si>
    <t>Левофлоксацин р-р для инф 100мл (Левадо)</t>
  </si>
  <si>
    <t>Левофлоксацин р-р инф 100мл МР МР МР_x001F_ (Левамакс)_x001F_</t>
  </si>
  <si>
    <t>Левофлоксацин таб. п/о 500мг №10 Узхим</t>
  </si>
  <si>
    <t>Левофлоксоцин раствор 100мл Русс</t>
  </si>
  <si>
    <t>Левофлон 500мг 100 мл</t>
  </si>
  <si>
    <t>Лейкопластырь  4х500см "Мультипласт"</t>
  </si>
  <si>
    <t>Лейкопластырь гипоаллерген.3смх5м HEALTH LINE</t>
  </si>
  <si>
    <t>Лейкопластырь гипоаллерген.4смх5м HEALTH LINE</t>
  </si>
  <si>
    <t>Лейкопластырь гипоаллерген.5смх5м</t>
  </si>
  <si>
    <t>Лейкопластырь мозольный 10*2/10*4 СМ</t>
  </si>
  <si>
    <t>Лейкопластырь Мультипласт 2*500см №1</t>
  </si>
  <si>
    <t>Лейкопластырь Мультипласт 3*300см №1</t>
  </si>
  <si>
    <t>Лейкопластырь Мультипласт 5*500см №1</t>
  </si>
  <si>
    <t>Лекокса капс 200мг №30</t>
  </si>
  <si>
    <t>Лекролин гл. капли 4% 5мл</t>
  </si>
  <si>
    <t>Лемокс таб. 500мг №7</t>
  </si>
  <si>
    <t>Ленекц капс №10 Malika laboratories_x001F__x001F_</t>
  </si>
  <si>
    <t>Лензетто Спрей 1,53мг/доза 6,5мл №1</t>
  </si>
  <si>
    <t>Леркамен таб. 10мг №28</t>
  </si>
  <si>
    <t>Леркамен таб. 20мг №28</t>
  </si>
  <si>
    <t>Лесцинат амп 5мл  №10 Журабек (Л-Лизина)</t>
  </si>
  <si>
    <t>Летроз таб. 2,5мг №30</t>
  </si>
  <si>
    <t>Летфиксим 200мг таб №10</t>
  </si>
  <si>
    <t>Летфиксим 400мг таб №10</t>
  </si>
  <si>
    <t>Лефлокс 750мг таб №7</t>
  </si>
  <si>
    <t>Лив-52 таб.№100</t>
  </si>
  <si>
    <t>Ливаксир таб №30</t>
  </si>
  <si>
    <t>Ливерин р-р для инъекция 0,6г/2мл №7</t>
  </si>
  <si>
    <t>Ливсон сусп. 60мл №1</t>
  </si>
  <si>
    <t>Ливсон.Вита капс.№30</t>
  </si>
  <si>
    <t>Лидокаин 2% 2мл №10 МР</t>
  </si>
  <si>
    <t>Лидокаин 2% 2мл №5 Дента</t>
  </si>
  <si>
    <t>Лидокаин спрей 100мг/мл.50мл№1 Флумед-Фарм</t>
  </si>
  <si>
    <t>Лизак таб №10 (Апельсин)</t>
  </si>
  <si>
    <t>Лизак таб. для расс. №10 анис и мята</t>
  </si>
  <si>
    <t>Лизинокор таб. 10мг №20</t>
  </si>
  <si>
    <t>Линдафер. 100мг/5мл 5мл №5 Железа</t>
  </si>
  <si>
    <t>Линдинет 20 таб. №21</t>
  </si>
  <si>
    <t>Линекс кап. №10  Малика Фарм</t>
  </si>
  <si>
    <t>Линимент  Вишневскому 25г Дента</t>
  </si>
  <si>
    <t>Линимент  Вишневскому 25г Зеленая Дубрава</t>
  </si>
  <si>
    <t>Линимент  Вишневскому 25г МР</t>
  </si>
  <si>
    <t>Линимент  Вишневскому 30г Русс</t>
  </si>
  <si>
    <t>Линкас SP сироп 90 мл Спринг Фарм</t>
  </si>
  <si>
    <t>Линкас бальзам мазь 25гр</t>
  </si>
  <si>
    <t>Линкас плюс сироп 90мл</t>
  </si>
  <si>
    <t>Линкас сироп 90мл</t>
  </si>
  <si>
    <t>Линкомицин р-р д/ин. 300мг/мл 1мл №10</t>
  </si>
  <si>
    <t>Лиотон 1000 гель 30г</t>
  </si>
  <si>
    <t>Липивин-10мг таб №30</t>
  </si>
  <si>
    <t>Липосом форте р-р 28мг/мл 2мл №5</t>
  </si>
  <si>
    <t>Лира 500мг/4мл 4мл №5 Фармак</t>
  </si>
  <si>
    <t>Лира амп. 1000мг/4 мл №5</t>
  </si>
  <si>
    <t>Лозалип 50мг таб №30</t>
  </si>
  <si>
    <t>Лозап таб. 100мг №30</t>
  </si>
  <si>
    <t>Лозап таб. 50мг №30</t>
  </si>
  <si>
    <t>Локсидол амп.15мг/1.5мл№3</t>
  </si>
  <si>
    <t>Локсидол табл.15 мг №10</t>
  </si>
  <si>
    <t>Лондромакс таб 70мг №4</t>
  </si>
  <si>
    <t>Лоперамед 2 мг таб. № 10 МР</t>
  </si>
  <si>
    <t>Лоперамед 2 мг таб. № 20 Зуннур Фарм</t>
  </si>
  <si>
    <t>Лоперамид "ОЗ" таб. 2мг №20 Русс</t>
  </si>
  <si>
    <t>Лоранекс таб. 5мг №10</t>
  </si>
  <si>
    <t>Лоратадин таб 10мг №10 Дента</t>
  </si>
  <si>
    <t>Лордент р-р для полоскания 100мл</t>
  </si>
  <si>
    <t>Лордес сироп 60мл</t>
  </si>
  <si>
    <t>Лордестин сироп 0,5мг/мл 60мл</t>
  </si>
  <si>
    <t>Лордестин таб.5мг№10</t>
  </si>
  <si>
    <t>Лорингосепт таб. №10 (Сепларинга)!!!</t>
  </si>
  <si>
    <t>Лоринден А мазь 15г Jelfa</t>
  </si>
  <si>
    <t>Лоринден А мазь 15г Дента</t>
  </si>
  <si>
    <t>Лоринден С мазь 15г Полша</t>
  </si>
  <si>
    <t>Лориста 100мг №28</t>
  </si>
  <si>
    <t>Лориста 25мг №28</t>
  </si>
  <si>
    <t>Лориста HD 100мг/25мг №28</t>
  </si>
  <si>
    <t>Лориста Н 50мг/12,5мг №28</t>
  </si>
  <si>
    <t>Лорнадо таб 8мг №10</t>
  </si>
  <si>
    <t>Лоробен орал р-р.200мл№1</t>
  </si>
  <si>
    <t>Лоробен спрей 30мл</t>
  </si>
  <si>
    <t>Лорсепт таб 1,5мг №30 Ассатимент</t>
  </si>
  <si>
    <t>Лортенза 100мг/10мг №30 (Лориста + Тенокс)</t>
  </si>
  <si>
    <t>Лортенза 50мг/10мг №30 (Лориста + Тенокс)</t>
  </si>
  <si>
    <t>Лортенза 50мг/5мг №30 (Лориста + Тенокс)</t>
  </si>
  <si>
    <t>Лосавин таб. 100мг №30</t>
  </si>
  <si>
    <t>Лосавин таб. 50мг №30</t>
  </si>
  <si>
    <t>Лосавин-Н 50мг/12,5мг таб №30</t>
  </si>
  <si>
    <t>Лофлатил №100</t>
  </si>
  <si>
    <t>Лукомед капс. 150мг №1</t>
  </si>
  <si>
    <t>Лэсфаль р-р 50мг/мл 5мл №5 Фармак</t>
  </si>
  <si>
    <t>Лютеина таб. сублингвал. 50мг N30 (блистер)</t>
  </si>
  <si>
    <t>Маалокс сусп. 15мл №30</t>
  </si>
  <si>
    <t>Маалокс таб. жев. №20</t>
  </si>
  <si>
    <t>Магне В6 кап №50 Бест</t>
  </si>
  <si>
    <t>Магне В6 кап №50 Техно фарм</t>
  </si>
  <si>
    <t>Магне В6 р-р 10мл №10 МР</t>
  </si>
  <si>
    <t>Магне В6 р-р д/приёма внутрь 10мл №10</t>
  </si>
  <si>
    <t>Магне В6 таб. №50 Санофи!!</t>
  </si>
  <si>
    <t>Магне В6 Форте таб. 100мг/10 мг №40 Санофи</t>
  </si>
  <si>
    <t>Магне сульфат 25% 5мл №10 МР</t>
  </si>
  <si>
    <t>Магне сульфат 25% 5мл №10 Русс</t>
  </si>
  <si>
    <t>Магнетаб таб №50 №50</t>
  </si>
  <si>
    <t>Магний +В6 р-р д/взрослых и детей 250мл</t>
  </si>
  <si>
    <t>Магний Б6 таб №50 (Супер) Дора лине</t>
  </si>
  <si>
    <t>Магний В6 форте таб. №50 Фарм Груп</t>
  </si>
  <si>
    <t>Магний пор сульфат 25г№1 Osiyo Farm</t>
  </si>
  <si>
    <t>Магникум таб №50</t>
  </si>
  <si>
    <t>Магницин В6 таб №60</t>
  </si>
  <si>
    <t>Макро-Сед Бабй 100мл</t>
  </si>
  <si>
    <t>Макро-Сед успокоительное средство 100мл</t>
  </si>
  <si>
    <t>Макровит Energy сироп 200мл</t>
  </si>
  <si>
    <t>Макровит эенержй кас №30</t>
  </si>
  <si>
    <t>Макросед успокоительное капс №30</t>
  </si>
  <si>
    <t>Макрофер таб №30 Железа</t>
  </si>
  <si>
    <t>Мальтофер сироп 10мг/мл 150мл</t>
  </si>
  <si>
    <t>Мальтофер таб. жев. 100мг №30</t>
  </si>
  <si>
    <t>Маннит МР инфузий 15% 200мл Мр</t>
  </si>
  <si>
    <t>Мапрофен таб  100мг №24 Нобел</t>
  </si>
  <si>
    <t>Марли 10мтр Упаковка</t>
  </si>
  <si>
    <t>Марли 1мтр Упаковка</t>
  </si>
  <si>
    <t>Марли 2мтр Оддий Упаковка Оддий</t>
  </si>
  <si>
    <t>Марли 2мтр Упаковка</t>
  </si>
  <si>
    <t>Марли 3мтр Упаковка</t>
  </si>
  <si>
    <t>Марли 5мтр Упаковка</t>
  </si>
  <si>
    <t>Маска одноразовая синый</t>
  </si>
  <si>
    <t>Маска Респиратор</t>
  </si>
  <si>
    <t>Масло Арча Арча 25мл</t>
  </si>
  <si>
    <t>Масло Атиргул 25мл</t>
  </si>
  <si>
    <t>Масло Бодом 25мл (Ширин)</t>
  </si>
  <si>
    <t>Масло Бодом 75мл (АЧЧИК)</t>
  </si>
  <si>
    <t>Масло Гоз 25мл</t>
  </si>
  <si>
    <t>Масло Гоз 75мл</t>
  </si>
  <si>
    <t>Масло Зайтун 25мл</t>
  </si>
  <si>
    <t>Масло Зайтун 75мл</t>
  </si>
  <si>
    <t>Масло Калампир мунчок 25мл</t>
  </si>
  <si>
    <t>Масло Канакунжут 25мл</t>
  </si>
  <si>
    <t>Масло Канакунжут 75мл</t>
  </si>
  <si>
    <t>Масло Ковок 25мл</t>
  </si>
  <si>
    <t>Масло Ковок 75мл</t>
  </si>
  <si>
    <t>Масло Кунжут 25мл</t>
  </si>
  <si>
    <t>Масло Кунжут 75мл</t>
  </si>
  <si>
    <t>Масло Седана 25мл</t>
  </si>
  <si>
    <t>Масло Седана 75мл</t>
  </si>
  <si>
    <t>Масло тыквенное "LIK" с вит. Е 0,78г кап. №50</t>
  </si>
  <si>
    <t>Масло Чеснок 25мл</t>
  </si>
  <si>
    <t>Масло Шафтоли 75мл</t>
  </si>
  <si>
    <t>Мастинорм таб 500мг №50 (Индол)</t>
  </si>
  <si>
    <t>Махавар капсулы №12</t>
  </si>
  <si>
    <t>Мега Бифидумбакрим фл №10</t>
  </si>
  <si>
    <t>Мега Лактобактрим фл №10</t>
  </si>
  <si>
    <t>Мегасеф 250 порошок для инекьци №1</t>
  </si>
  <si>
    <t>Мегасеф 500мг таб №10 Нобел</t>
  </si>
  <si>
    <t>Мегасеф 750 порошок для инекьци №1</t>
  </si>
  <si>
    <t>Мегафит гран 75гр</t>
  </si>
  <si>
    <t>Медамин таб. 0,1г №20 Radiks</t>
  </si>
  <si>
    <t>Медексол капли 0,1% 5мл №1</t>
  </si>
  <si>
    <t>Медетром глаз капли 5мл №1</t>
  </si>
  <si>
    <t>Мединак плюс гель 30г</t>
  </si>
  <si>
    <t>Мединак таб №100</t>
  </si>
  <si>
    <t>Медолапрам таб 10мг №28</t>
  </si>
  <si>
    <t>Медролгин г/л капли 0,5% 5мл</t>
  </si>
  <si>
    <t>Медролгин р-р д/и амп. 30 мг/мл №5</t>
  </si>
  <si>
    <t>Мезакар 200мг таб. №50</t>
  </si>
  <si>
    <t>Мезакар 400-SR таб.№50</t>
  </si>
  <si>
    <t>Мезатон гл/капли 25мг/мл 5мл во фл</t>
  </si>
  <si>
    <t>Меззем таб №20 (Мализим) Малика Фарм</t>
  </si>
  <si>
    <t>Меззен Форте таб №20 Индия</t>
  </si>
  <si>
    <t>Мексидол амп. 50мг/мл 5мл №5 "Фармасофт"</t>
  </si>
  <si>
    <t>Мексидол амп.50мг/мл.2мл№10</t>
  </si>
  <si>
    <t>Мексидол р-р д/ин. 50мг/мл 5мл №5</t>
  </si>
  <si>
    <t>Мексидол таб. 125мг №30</t>
  </si>
  <si>
    <t>Мексидол форте 250 мг №40</t>
  </si>
  <si>
    <t>Меласон таб. №30</t>
  </si>
  <si>
    <t>Мелбек р-р амп №3 Нобел</t>
  </si>
  <si>
    <t>Мелбек форте таб 15мг №30 Нобел</t>
  </si>
  <si>
    <t>Мелглис капли для детей №1 50мл</t>
  </si>
  <si>
    <t>Мелепсин  табл. 200мг. №50</t>
  </si>
  <si>
    <t>Меломак  р-р д/ин 15мг/1,5 мл №3</t>
  </si>
  <si>
    <t>Меновазан  мазь 40г Русс</t>
  </si>
  <si>
    <t>Меновазин 40 мл "LEKINTERKAPS"</t>
  </si>
  <si>
    <t>Меновазин 40 мл Дента</t>
  </si>
  <si>
    <t>Меноришан сироп 200мл</t>
  </si>
  <si>
    <t>Меркацин р-р д/и 500мг 2мл №1</t>
  </si>
  <si>
    <t>Мертенил таб. 10мг №30</t>
  </si>
  <si>
    <t>Мертенил таб. 20мг №30</t>
  </si>
  <si>
    <t>Метакартин р-р д/и 1г/5мл №5</t>
  </si>
  <si>
    <t>Метафаж таб.1000мг№30</t>
  </si>
  <si>
    <t>Метоклопрамид амп.5мг/2мл №20 Reka Med Farm</t>
  </si>
  <si>
    <t>Метостил супп. ваг. №7!!!</t>
  </si>
  <si>
    <t>Метрогил А гель наруж. 0,1%+1% 20г</t>
  </si>
  <si>
    <t>Метрогил гель наруж. 1% 30 г</t>
  </si>
  <si>
    <t>Метрогил Дента гель 20г</t>
  </si>
  <si>
    <t>Метронидазол  0,25 г таб, №10 Русс</t>
  </si>
  <si>
    <t>Метронидазол 0,25г таб №10 Дента</t>
  </si>
  <si>
    <t>Метронидазол 100мл Синтез_x001F_</t>
  </si>
  <si>
    <t>Метронидазол р-р 100мл (Метрил) "Samarkand England Eco-Medic</t>
  </si>
  <si>
    <t>Метронидазол супп.ваг. 500мг №10 Farmaprim</t>
  </si>
  <si>
    <t>Метформин 500мг таб №30 Дента</t>
  </si>
  <si>
    <t>Мефлоцид таб. 750мг №7</t>
  </si>
  <si>
    <t>Миг Детский сус. 100мл</t>
  </si>
  <si>
    <t>Мигтера 5мг таб №6</t>
  </si>
  <si>
    <t>Мидиана таб. 3мг/0,03мг №21</t>
  </si>
  <si>
    <t>Мидокалм р-р д/ин. 10% 1мл №5 МР МР МР</t>
  </si>
  <si>
    <t>Мидокалм таб. 150мг №30</t>
  </si>
  <si>
    <t>Мидокалм таб. 50мг №30</t>
  </si>
  <si>
    <t>Микодерм р-р 10мг 1мл №1</t>
  </si>
  <si>
    <t>Микотран супп. ваг. 1200мг №1</t>
  </si>
  <si>
    <t>Микофлю капс. 150мг №1</t>
  </si>
  <si>
    <t>Микразим капс.10.000ЕД№20</t>
  </si>
  <si>
    <t>Микройодид таб. 100мкг №100</t>
  </si>
  <si>
    <t>Микроклизма-(глиц.ромаш.мальва) 3г.№6</t>
  </si>
  <si>
    <t>Милдронат амп инекь 500мг/5мл №10 Дента</t>
  </si>
  <si>
    <t>Милдронат амп инекь МР 500мг/5мл №10 МР МР</t>
  </si>
  <si>
    <t>Милдронат капс. 500мг № 60</t>
  </si>
  <si>
    <t>Милт кап.назальн. 10мл (флак. с пипеткой)</t>
  </si>
  <si>
    <t>Мильгамма 2мл №10 Германия</t>
  </si>
  <si>
    <t>Мильгамма таб композитум №30</t>
  </si>
  <si>
    <t>Минеральф таб 0,5мкг №20</t>
  </si>
  <si>
    <t>Мирел таб.40мг№30 Телмисартан</t>
  </si>
  <si>
    <t>Миртел таб. 30мг №30</t>
  </si>
  <si>
    <t>Мисол 50мг таб №28 Нобел</t>
  </si>
  <si>
    <t>Мифон 10000 капсулы по 150мг №20</t>
  </si>
  <si>
    <t>Мифон 25000 капсулы по 300мг №20</t>
  </si>
  <si>
    <t>Млекоин гранулы 10г</t>
  </si>
  <si>
    <t>Мобилаб р-р для инек</t>
  </si>
  <si>
    <t>Мокси глазные капли 10 мл</t>
  </si>
  <si>
    <t>Мокси-G таб 400мг №5</t>
  </si>
  <si>
    <t>Мокси-Д глазные капли 10 мл</t>
  </si>
  <si>
    <t>Мона форте №30 Саше Для подготовки беременности</t>
  </si>
  <si>
    <t>Монасан 40мг таб №30</t>
  </si>
  <si>
    <t>Монекс спрей назальный дозированный 50 мкг/доза 140 доза</t>
  </si>
  <si>
    <t>Монодекс капли 0,1% 5мл</t>
  </si>
  <si>
    <t>Монталин капс SP №40 Спирн фарм</t>
  </si>
  <si>
    <t>Мотилиум таб. 10мг №30</t>
  </si>
  <si>
    <t>Мотониум таб.10мг№30</t>
  </si>
  <si>
    <t>Мубид Стресс капс №30</t>
  </si>
  <si>
    <t>Мукалтин  таб. 50 мг №10 Дармон</t>
  </si>
  <si>
    <t>Мукалтин таб. 50 мг № 10 Русс</t>
  </si>
  <si>
    <t>Мукекс 30мг №100</t>
  </si>
  <si>
    <t>Мукоген таб. 100мг №30</t>
  </si>
  <si>
    <t>Мукосат-Белмед  р-р д/ин 2мл №10 (Хондролон)</t>
  </si>
  <si>
    <t>Муксирлак капс №30</t>
  </si>
  <si>
    <t>Мумиё таб 0,2г №30 Фармгрупп</t>
  </si>
  <si>
    <t>Мумиё таб №30</t>
  </si>
  <si>
    <t>Мумиё-ЛИК капсулы 150 мг №20</t>
  </si>
  <si>
    <t>Мупиробан мазь для наруж прим 2% 15г</t>
  </si>
  <si>
    <t>Мускомед  крем 0,25% 30 г №1</t>
  </si>
  <si>
    <t>Називин капли назальные 0,025% 10мл Д.Р. Редди'с</t>
  </si>
  <si>
    <t>Називин капли назальные Классик 0,05% 10мл</t>
  </si>
  <si>
    <t>Назонекс спрей назаль. 50мкг 140доз</t>
  </si>
  <si>
    <t>Назоферон спрей назаль. 50мкг 140доз</t>
  </si>
  <si>
    <t>Найз гель 1% 20г</t>
  </si>
  <si>
    <t>Найз гель 1% 50г</t>
  </si>
  <si>
    <t>Найзилат таб. 600мг №10</t>
  </si>
  <si>
    <t>Наклофен амп.75мг/3мл№5 КРКА</t>
  </si>
  <si>
    <t>Наклофен Дуо капс. 75мг №30</t>
  </si>
  <si>
    <t>Налгезин 275мг №10 КРКА</t>
  </si>
  <si>
    <t>Налгезин форте таб. 550мг №10</t>
  </si>
  <si>
    <t>Напальчники медицинские №100</t>
  </si>
  <si>
    <t>Напрофф гель 10% 45г</t>
  </si>
  <si>
    <t>Наридон кидс сироп 100мл</t>
  </si>
  <si>
    <t>Наридон форте капсула №20</t>
  </si>
  <si>
    <t>Насморк Тотал таб №10</t>
  </si>
  <si>
    <t>Насморк Тотал таб №4</t>
  </si>
  <si>
    <t>Настойка Боярышника 25мл</t>
  </si>
  <si>
    <t>Натацин №3 супп 100мг №3</t>
  </si>
  <si>
    <t>Натацин №6 супп 100мг №6</t>
  </si>
  <si>
    <t>Натр хлор 0,9% 500мл Дента!!!</t>
  </si>
  <si>
    <t>Натрия  тиосульфат амп 30% 5мл №10 Русс</t>
  </si>
  <si>
    <t>Натрия тиосулфат 30% 10мл Дента</t>
  </si>
  <si>
    <t>Натрия тиосулфат 30% 10мл МР МР</t>
  </si>
  <si>
    <t>Нафтимизин спрей MF 0.1% 20мл</t>
  </si>
  <si>
    <t>Наятокс мазь 20 г</t>
  </si>
  <si>
    <t>Небивол 5мг таб №30</t>
  </si>
  <si>
    <t>Небиворлд таб 5мг №28 (Небиволол)</t>
  </si>
  <si>
    <t>Невралон таб. №20</t>
  </si>
  <si>
    <t>Незоврин р-р д/ин. 2мл №5</t>
  </si>
  <si>
    <t>Нейрокобал таб. 500мг №90</t>
  </si>
  <si>
    <t>Нейрокс 50мг/2мл амп  №10</t>
  </si>
  <si>
    <t>Нейрокс амп.50мг/мл.5мл№5</t>
  </si>
  <si>
    <t>Нейролаб р-р для иньек 3мл №5</t>
  </si>
  <si>
    <t>Нейромидин р-р д/ин. 0,5% 1мл. №10</t>
  </si>
  <si>
    <t>Нейромидин р-р д/ин. 1,5% 1мл. №10</t>
  </si>
  <si>
    <t>Нейромидин таб.20мг№50</t>
  </si>
  <si>
    <t>Нейротон р-р д/и. 2мл №5 "Фармак"</t>
  </si>
  <si>
    <t>Нейроцитин р-р для инф 200мл Юрия Фарм</t>
  </si>
  <si>
    <t>Неладекс глаз.мазь 5г №1</t>
  </si>
  <si>
    <t>Неладекс глз-ушн капли 5мл №1</t>
  </si>
  <si>
    <t>Неладекс-НС назал.спрей 15 мл №1</t>
  </si>
  <si>
    <t>Неодерм крем 15г</t>
  </si>
  <si>
    <t>Неомарин пор.инъек.1200мг №1</t>
  </si>
  <si>
    <t>Неомарин пор.инъек.600мг №1</t>
  </si>
  <si>
    <t>Неуфастер амп 3мл №5 Гета Фарм</t>
  </si>
  <si>
    <t>Неуфастер гель 30г  02,23</t>
  </si>
  <si>
    <t>Неуфастер смайл сироп 100мл</t>
  </si>
  <si>
    <t>Нефролин капс №30</t>
  </si>
  <si>
    <t>Нивалин 1мг/мл 1мл №10</t>
  </si>
  <si>
    <t>Нивалин 2,5мг/мл 1мл №10</t>
  </si>
  <si>
    <t>Нивалин 5мг/мл 1мл №10</t>
  </si>
  <si>
    <t>Нивалин таб 10мг №20</t>
  </si>
  <si>
    <t>Нижагара Лонг Ласт 100мг №4</t>
  </si>
  <si>
    <t>Нижагара таб 100 мг. №4</t>
  </si>
  <si>
    <t>Низомед крем 15г</t>
  </si>
  <si>
    <t>Никапим нат соль 0,1г №1</t>
  </si>
  <si>
    <t>Никотинабс 1,5мг №100 Нобел</t>
  </si>
  <si>
    <t>Никотиновая Кислота 1мл 1% М Р</t>
  </si>
  <si>
    <t>Никсар таб. 20мг №10</t>
  </si>
  <si>
    <t>Нимесил 100мг №30 МР МР МР</t>
  </si>
  <si>
    <t>Нимесил 2 г №30 Берлин Хеми</t>
  </si>
  <si>
    <t>Нимесил порошок 100мг №30 Малика Фарм</t>
  </si>
  <si>
    <t>Нимесулид порошок 100мг/2г №30 Дента</t>
  </si>
  <si>
    <t>Нимесулид порошок 100мг/2г №30 Ника Фарм</t>
  </si>
  <si>
    <t>Нимесулид порошок 100мг/2г №30 Радикс</t>
  </si>
  <si>
    <t>Нимид гель 10мг 100г 100г 100г</t>
  </si>
  <si>
    <t>Нимид гель 10мг/30г.№1 Нимесулид</t>
  </si>
  <si>
    <t>Нимид гель10мг/30гр</t>
  </si>
  <si>
    <t>Нимид саше 100мг/2г №30</t>
  </si>
  <si>
    <t>Нимид таб 100мг №10</t>
  </si>
  <si>
    <t>Нимид форте таб №10</t>
  </si>
  <si>
    <t>Нимиц  100мг таб №10 (нимид) Malika laboratories_x001F__x001F_</t>
  </si>
  <si>
    <t>Нипертен 10мг таб №30</t>
  </si>
  <si>
    <t>Нипертен 2,5мг таб №30</t>
  </si>
  <si>
    <t>Нипертен 5мг таб №30</t>
  </si>
  <si>
    <t>Нирмин 5-S р-р 5% 100мл</t>
  </si>
  <si>
    <t>Нистатин с/в  500000 ЕД - №10 Дента</t>
  </si>
  <si>
    <t>Нистатин таб. 500000ЕД №20 Белмедпрепараты</t>
  </si>
  <si>
    <t>Нитресан 10мг таб. №30</t>
  </si>
  <si>
    <t>Нитресан 20мг таб. №30</t>
  </si>
  <si>
    <t>Нифедипин таб 10мг №50 Русс</t>
  </si>
  <si>
    <t>Нифекард XL таб 30мг №30</t>
  </si>
  <si>
    <t>Но Спаз таб №50 Малика Фарм</t>
  </si>
  <si>
    <t>НО-ШПА 40мг/2мл амп №25 Санофи</t>
  </si>
  <si>
    <t>НО-ШПА таб. 40мг №100 Санофи</t>
  </si>
  <si>
    <t>Новакаин 0,5% 5мл №10 Uzgermed Pharm</t>
  </si>
  <si>
    <t>Новакаин 0,5% 5мл №10 Журабек</t>
  </si>
  <si>
    <t>Новакаин 2% 2мл №10 Журабек</t>
  </si>
  <si>
    <t>Новекс Амброксол сироп 15мг/5мл 90мл</t>
  </si>
  <si>
    <t>Новинет таб. №21</t>
  </si>
  <si>
    <t>Новирин таб 500мг №40</t>
  </si>
  <si>
    <t>Новирус гран 2,0г №10  02,23</t>
  </si>
  <si>
    <t>Нозатон спрей наз 0,05% 12мл №1</t>
  </si>
  <si>
    <t>Нозейлин капли глазные назалные 15мл №1  01,23</t>
  </si>
  <si>
    <t>Нозейлин-НС назал.спрей 15 мл №1</t>
  </si>
  <si>
    <t>Ноклот  ЕА 75 мг таб №30</t>
  </si>
  <si>
    <t>Ноклофен 75мг 3мл №5 МР</t>
  </si>
  <si>
    <t>Ноксопен ДП таб №100</t>
  </si>
  <si>
    <t>Ноксопен таб 10мг №100 (Серрата)</t>
  </si>
  <si>
    <t>Нолаксен таб 25мг/25мг №20</t>
  </si>
  <si>
    <t>Нолгрипп-Плюс таб.№4!!!</t>
  </si>
  <si>
    <t>Нолицин 400мг №20</t>
  </si>
  <si>
    <t>Нольпаза 20мг №28</t>
  </si>
  <si>
    <t>Нольпаза 40мг №28</t>
  </si>
  <si>
    <t>Нольпаза 40мг для в/в инек. №1</t>
  </si>
  <si>
    <t>Ноофен кап. 250 мг. №20</t>
  </si>
  <si>
    <t>Ноофен капс. 500мг N24</t>
  </si>
  <si>
    <t>Ноофен пор. 100мг пак 1г N15</t>
  </si>
  <si>
    <t>Ноофен порошок 500 №5</t>
  </si>
  <si>
    <t>Норколут таб. 5мг №20</t>
  </si>
  <si>
    <t>Норматин гл. капли 0,5% 5мл №1</t>
  </si>
  <si>
    <t>Нормодипин таб. 10мг №30</t>
  </si>
  <si>
    <t>Нормодипин таб. 5мг №30</t>
  </si>
  <si>
    <t>Нош-Бра  р-р д/ин 2% 2мл №10 Русс</t>
  </si>
  <si>
    <t>Нош-Бра таб. 40мг №20 Русс</t>
  </si>
  <si>
    <t>Нош-пен МР 40мг таб №50</t>
  </si>
  <si>
    <t>Нурофен сусп. дет. клубника 100мг/5мл 150мл</t>
  </si>
  <si>
    <t>Нурофен сусп. детский апельсин 100мг/5мг 150мл</t>
  </si>
  <si>
    <t>Нурофен таб. 200мг №20 №20 №20</t>
  </si>
  <si>
    <t>Нурофен таб.200мг№10</t>
  </si>
  <si>
    <t>Нутри Д3-1000 капс №30</t>
  </si>
  <si>
    <t>Нутри Д3-6000 капс №4</t>
  </si>
  <si>
    <t>Облепиховое масло 50мл "Рома Файз УЗБ"</t>
  </si>
  <si>
    <t>Облепиховое масло 50мл Зиё Нур</t>
  </si>
  <si>
    <t>Облепиховое масло 50мл МР</t>
  </si>
  <si>
    <t>Облепиховое супп масло 500мг №10  Farmaprim</t>
  </si>
  <si>
    <t>Облепиховое супп масло 500мг №10 Дента</t>
  </si>
  <si>
    <t>Од-Неб таб 5мг №28 (Небиволол)</t>
  </si>
  <si>
    <t>Одестон 200мг №50 таб.</t>
  </si>
  <si>
    <t>Океанис Беби О2 сироп для детей 120мл</t>
  </si>
  <si>
    <t>Оксалин мазь 0,25% 10г Дента</t>
  </si>
  <si>
    <t>Оксалин мазь назальная  10 г МР</t>
  </si>
  <si>
    <t>Оксамп-натрия 0,5г №1 Чина</t>
  </si>
  <si>
    <t>Оксапин 300мг таб №30</t>
  </si>
  <si>
    <t>Оксикорт 10г мазь</t>
  </si>
  <si>
    <t>Окситен таб. 20мг №10</t>
  </si>
  <si>
    <t>Окулин капс №30</t>
  </si>
  <si>
    <t>Олзап таб. 10мг №30</t>
  </si>
  <si>
    <t>Олзап таб. 5мг №30</t>
  </si>
  <si>
    <t>Олмесар 20 таб. 20мг №28</t>
  </si>
  <si>
    <t>Олмесар.Г.таб.20мг/12.5мг№28</t>
  </si>
  <si>
    <t>Олтар таб. 2мг №30</t>
  </si>
  <si>
    <t>Олтар таб. 3мг №30</t>
  </si>
  <si>
    <t>Олтар таб. 4мг №30</t>
  </si>
  <si>
    <t>Омега-3 льняное масло с вит Е капс 350мг №100</t>
  </si>
  <si>
    <t>ОМЕГА-3-LIK капсулы №50</t>
  </si>
  <si>
    <t>Омегаст 10мг капс №14 Нобел</t>
  </si>
  <si>
    <t>Омегаст 20мг капс №28 Нобел</t>
  </si>
  <si>
    <t>Омез DSR капс. 20мг/30мг №30</t>
  </si>
  <si>
    <t>Омез капс №30 Комбитик</t>
  </si>
  <si>
    <t>Омез р-р д/инъек. 40мг фл</t>
  </si>
  <si>
    <t>Омеперезо (Омез) №30 Индия</t>
  </si>
  <si>
    <t>Омепразол  капс 0,02г №30 Борисовский ЗМП, Беларусь</t>
  </si>
  <si>
    <t>Омепрал 20мг капс №30 (Омепразол)</t>
  </si>
  <si>
    <t>Омес-МР 20мг капс №30</t>
  </si>
  <si>
    <t>Омнадрен 250мг 1мл №5</t>
  </si>
  <si>
    <t>Омсер ДМ капс №30</t>
  </si>
  <si>
    <t>Онтик р-р д/приема внутрь 2мг/5мл 30мл №1</t>
  </si>
  <si>
    <t>Онтик-MD4 таб.4мг№10</t>
  </si>
  <si>
    <t>Опефера капс №10</t>
  </si>
  <si>
    <t>Оптиксим 100 пор. 2г саше №10</t>
  </si>
  <si>
    <t>Оптиприм 50мл (О-типрим) Нова фарма</t>
  </si>
  <si>
    <t>Оптиприм сироп 50мл Индия</t>
  </si>
  <si>
    <t>Оргавит пор №20 Лимон</t>
  </si>
  <si>
    <t>Оргил таб. 500мг №10</t>
  </si>
  <si>
    <t>Оргинал Бодом ёги 100мл 100%</t>
  </si>
  <si>
    <t>Оргинал Бодом ёги 50мл 100%</t>
  </si>
  <si>
    <t>Оргинал Зайтун ёги 100мл 100%</t>
  </si>
  <si>
    <t>Оргинал Зайтун ёги 50мл 100%</t>
  </si>
  <si>
    <t>Оргинал Ковок ёги 100мл 100%</t>
  </si>
  <si>
    <t>Оргинал Ковок ёги 50мл</t>
  </si>
  <si>
    <t>Оргинал Кора Седана ёги 100мл 100%</t>
  </si>
  <si>
    <t>Оргинал Кора Седана ёги 250мл  Natural Sahmerdan</t>
  </si>
  <si>
    <t>Оргинал Кора Седана ёги 50мл 100%</t>
  </si>
  <si>
    <t>Оргинал Кунжут ёги 100мл 100%</t>
  </si>
  <si>
    <t>Оргинал Кунжут ёги 50мл 100%</t>
  </si>
  <si>
    <t>Орлип капс. 120мг №30</t>
  </si>
  <si>
    <t>Орнимед 500мг таб №10</t>
  </si>
  <si>
    <t>Орса (Регидрационная соль) 250мл Malika laboratories_x001F__x001F_</t>
  </si>
  <si>
    <t>Орса МР р-р 100мл МР</t>
  </si>
  <si>
    <t>Орса МР р-р 250мл МР</t>
  </si>
  <si>
    <t>Орса р-р 100мл Журабек</t>
  </si>
  <si>
    <t>Ортофен 25мг таб №100 Ника фарм</t>
  </si>
  <si>
    <t>Ортофен 25мг таб. №30 Русс</t>
  </si>
  <si>
    <t>Орципол таб 500мг/500мг №10 (орнидазол)</t>
  </si>
  <si>
    <t>Освижитель "Wind Rose Асартимент " 300мл</t>
  </si>
  <si>
    <t>Осетрон 4мг/2мл №5</t>
  </si>
  <si>
    <t>Осетрон 8мг/4мл №5</t>
  </si>
  <si>
    <t>Отипакс уш. капли 16г</t>
  </si>
  <si>
    <t>Отисфен капли ушные 40мг/10мг №1</t>
  </si>
  <si>
    <t>Отривин капли наз. детс. 0,05% 10мл №1</t>
  </si>
  <si>
    <t>Отривин спрей доз.наз.0,1% д/взр. 10мл</t>
  </si>
  <si>
    <t>Отривин спрей наз. ментол/эвкалипт 0,1% 10мл</t>
  </si>
  <si>
    <t>Офлодиар таб 200мг №10 №10</t>
  </si>
  <si>
    <t>Офлодик 2мг 100мл М Р</t>
  </si>
  <si>
    <t>Офлоксацин р-р для инф 100мл Радикс</t>
  </si>
  <si>
    <t>Офлоксацин таб.200мг№10 Синтез</t>
  </si>
  <si>
    <t>Офлоксацин таб.400мг№10 Синтез</t>
  </si>
  <si>
    <t>Офломелид мазь 50г 50г 50г №1 Русс</t>
  </si>
  <si>
    <t>Офтальрон глаз капли 10мл</t>
  </si>
  <si>
    <t>Офтальрон-П глаз капли 10мл</t>
  </si>
  <si>
    <t>Офтан Катахром гл. капли 10мл</t>
  </si>
  <si>
    <t>Пависин ваг с/в №14</t>
  </si>
  <si>
    <t>Палминосе спрей назальный 20мл</t>
  </si>
  <si>
    <t>Палора сироп 100мл№1 Нобел</t>
  </si>
  <si>
    <t>Памперс "SAXARA" 6  №37</t>
  </si>
  <si>
    <t>Памперс "SOF"  1   №76</t>
  </si>
  <si>
    <t>Памперс "SOF"  2  №70</t>
  </si>
  <si>
    <t>Памперс "SOF"  3  №58</t>
  </si>
  <si>
    <t>Памперс "SOF"  4  №50</t>
  </si>
  <si>
    <t>Памперс "SOF"  5  №40</t>
  </si>
  <si>
    <t>Памперс 5 для ВЗР  "XL" №30</t>
  </si>
  <si>
    <t>Панангин таб. №50</t>
  </si>
  <si>
    <t>Панзак 40мг пор инеькйи</t>
  </si>
  <si>
    <t>Панзинорм 10000 №21</t>
  </si>
  <si>
    <t>Панзинорм форте 20000 №30</t>
  </si>
  <si>
    <t>Панкреатин 25ЕД таб. №60 Русс!!!</t>
  </si>
  <si>
    <t>Панкреатин форте таб №20 Русс</t>
  </si>
  <si>
    <t>Пантап 20мг таб №28 (Пантопразол)</t>
  </si>
  <si>
    <t>Пантап 40мг таб №28</t>
  </si>
  <si>
    <t>Пантогам Сироп 100мг/мл 100мл</t>
  </si>
  <si>
    <t>Пантодекс крем 30г №1</t>
  </si>
  <si>
    <t>Пантокальцин таб. 500мг. №50</t>
  </si>
  <si>
    <t>Панфор SR таб. 1000мг №100</t>
  </si>
  <si>
    <t>Панфор SR таб. 500мг №100</t>
  </si>
  <si>
    <t>Папаверин г/х амп 2% 2мл №10 М Р</t>
  </si>
  <si>
    <t>Папаверин с/в 20мг №10 Дента</t>
  </si>
  <si>
    <t>Папаверин с/в 20мг №10 МР</t>
  </si>
  <si>
    <t>Папаверина г/х свечи  №10 Биосинтез</t>
  </si>
  <si>
    <t>Папазол таб. №6</t>
  </si>
  <si>
    <t>Парацетамол  125мг с/в  №10 Дента</t>
  </si>
  <si>
    <t>Парацетамол  250мг с/в  №6 Фармаприм</t>
  </si>
  <si>
    <t>Парацетамол 0,5г таб №10 Ривулет</t>
  </si>
  <si>
    <t>Парацетамол таб. 0,2 г №10 Русс</t>
  </si>
  <si>
    <t>Парацетамол таб. 0,5г №10 Русс</t>
  </si>
  <si>
    <t>Парацетамол таб.0.5мг№10 Зуннур</t>
  </si>
  <si>
    <t>Парацетамол-GT 0,2г №10 таб</t>
  </si>
  <si>
    <t>Пардифен таб 500мг/50мг №100</t>
  </si>
  <si>
    <t>Парфюмериний Совун "DOVE" оригинал 106г</t>
  </si>
  <si>
    <t>Парфюмериний Совун HILOL 140гр</t>
  </si>
  <si>
    <t>Парфюмериний Совун Ассортимент 125гр</t>
  </si>
  <si>
    <t>Парфюмериний совун ГЛИЦЕРИНОВОЕ 180гр</t>
  </si>
  <si>
    <t>Парфюмериний Совун ДЕГТИЯРНОЙ 90гр</t>
  </si>
  <si>
    <t>Парфюмериний совун ОДНАРАЗОВЫЙ 20гр</t>
  </si>
  <si>
    <t>Паскард 150мг таб №100</t>
  </si>
  <si>
    <t>Паскард 75мг таб №100</t>
  </si>
  <si>
    <t>Пензитал Таб №100</t>
  </si>
  <si>
    <t>Пенталгин "Н" таб. №10</t>
  </si>
  <si>
    <t>Пенталгин-ICN таб №12</t>
  </si>
  <si>
    <t>Перглим таб. 2мг №30</t>
  </si>
  <si>
    <t>Перекись водорода 3% 100мл</t>
  </si>
  <si>
    <t>Перекись водорода 3% 50мл Дента</t>
  </si>
  <si>
    <t>Персен День таб. №40</t>
  </si>
  <si>
    <t>Перцовый пластырь 10см*18см Чина</t>
  </si>
  <si>
    <t>Перчатка 7,5 Голд Гроуп</t>
  </si>
  <si>
    <t>Перчатка 7,5 Дента</t>
  </si>
  <si>
    <t>Перчатка 7,5 Соф</t>
  </si>
  <si>
    <t>Перчатки нестериннй Унверсал №100</t>
  </si>
  <si>
    <t>Перчатки нитрил. н/с М (пара) №2</t>
  </si>
  <si>
    <t>Пефсал аэрозоль 25/125 мкг №1</t>
  </si>
  <si>
    <t>Пивные дрожжи "Актив" 0,4г №100</t>
  </si>
  <si>
    <t>Пикмет крем 30г (Перметрин)</t>
  </si>
  <si>
    <t>Пиковит SP сироп 100мл Спринг Фарм</t>
  </si>
  <si>
    <t>Пиковит МР сироп 150мл МР МР_x001F__x001F_</t>
  </si>
  <si>
    <t>Пиковит паст  №30</t>
  </si>
  <si>
    <t>Пиковит сироп 150мл</t>
  </si>
  <si>
    <t>Пиколакс 0,75%  30мл Фармак</t>
  </si>
  <si>
    <t>Пиколакс 0,75% 15 мл Фармак</t>
  </si>
  <si>
    <t>Пиколакс SP 0,75% 30 мл Спринг Фпрм</t>
  </si>
  <si>
    <t>Пилокапс таб 500мг №50 (Пиколакс)</t>
  </si>
  <si>
    <t>Пипетка полимер.0.3мл</t>
  </si>
  <si>
    <t>Пирантел таб.250мг№3 Полша</t>
  </si>
  <si>
    <t>Пирацетам 20% 5мл №10 М Р</t>
  </si>
  <si>
    <t>Пирацетам 20% 5мл №10 Русс</t>
  </si>
  <si>
    <t>Пирацетам 20% 5мл №5 Дента</t>
  </si>
  <si>
    <t>Пиретикол суспензия д/прим внутрь 120мг/5мл 100мл №1</t>
  </si>
  <si>
    <t>Плаквенил таб. 200мг №60</t>
  </si>
  <si>
    <t>Полижен капсулы №12 Оргинал</t>
  </si>
  <si>
    <t>Полижен Мал №24 таб Malika laboratories_x001F__x001F_</t>
  </si>
  <si>
    <t>Полижинакс ваг/капс №12</t>
  </si>
  <si>
    <t>Полиоксидоний лиоф. р-р д/ин. 6мг №5</t>
  </si>
  <si>
    <t>Полиоксидоний супп. 6мг №10</t>
  </si>
  <si>
    <t>Полиоксидоний таб.12мг№10</t>
  </si>
  <si>
    <t>Политокс р-р д/инф. 100мл</t>
  </si>
  <si>
    <t>Полькортолон таб. 4мг №50</t>
  </si>
  <si>
    <t>Пояс Оздоровител.Верблюж.шерсти R42 №1</t>
  </si>
  <si>
    <t>Пояс Оздоровител.Верблюж.шерсти R44 №1</t>
  </si>
  <si>
    <t>Пояс Оздоровител.Верблюж.шерсти R46 №1</t>
  </si>
  <si>
    <t>Пояс Оздоровител.Верблюж.шерсти R48 №1</t>
  </si>
  <si>
    <t>Пояс Оздоровител.Верблюж.шерсти R50 №1</t>
  </si>
  <si>
    <t>Пояс Оздоровител.Верблюж.шерсти R52 №1</t>
  </si>
  <si>
    <t>Пояс Оздоровител.Верблюж.шерсти R54 №1</t>
  </si>
  <si>
    <t>Пояс Оздоровител.Верблюж.шерсти R56 №1</t>
  </si>
  <si>
    <t>Прайд 2 таб 2мг/500мг №30</t>
  </si>
  <si>
    <t>Прайд М-1 таб 1мг/500мг №30</t>
  </si>
  <si>
    <t>Предизин таб. 35мг №60</t>
  </si>
  <si>
    <t>Преднизалон амп.30мг/1мл№10 Русс</t>
  </si>
  <si>
    <t>Преднизолон мазь 5мг 10г Русс</t>
  </si>
  <si>
    <t>Преднизолон таб. 5мг №40 Rivulet</t>
  </si>
  <si>
    <t>Предуктал ОД капс. 80мг №30</t>
  </si>
  <si>
    <t>Презервативы Inno №3</t>
  </si>
  <si>
    <t>Пренесса  4мг №30 таб</t>
  </si>
  <si>
    <t>Пренесса 8мг №30 таб</t>
  </si>
  <si>
    <t>Про Гелминт капс №30</t>
  </si>
  <si>
    <t>Про Калций Д3 таб №50</t>
  </si>
  <si>
    <t>Пробиол таб №10</t>
  </si>
  <si>
    <t>Прогестерон 2,5% 1мл №10 Русс</t>
  </si>
  <si>
    <t>Пропанорм таб. 150мг. №50</t>
  </si>
  <si>
    <t>Прополис св 0,3г №10</t>
  </si>
  <si>
    <t>Простакор амп. 1мл №10 Микроген</t>
  </si>
  <si>
    <t>Простамол Уно №30</t>
  </si>
  <si>
    <t>Простасев таб №30</t>
  </si>
  <si>
    <t>Простатилен амп 10мг №10 Лекхим-Харьковв</t>
  </si>
  <si>
    <t>Простатилен амп 10мг/2мг №10 Биофарма Украина</t>
  </si>
  <si>
    <t>Простатилен с/в рек.0,03 г. №5</t>
  </si>
  <si>
    <t>Простомел Нео №30 (Neo Labs)</t>
  </si>
  <si>
    <t>Просульпин таб. 50мг №30!!!</t>
  </si>
  <si>
    <t>Протефлазид капли 30мл !!!!</t>
  </si>
  <si>
    <t>Протефлазид свечи 3гр №10</t>
  </si>
  <si>
    <t>Профлосин капс. 0,4мг №30</t>
  </si>
  <si>
    <t>Пулмаксол сироп 30мг/5мл 150мл</t>
  </si>
  <si>
    <t>Пулмолан 30мг №20</t>
  </si>
  <si>
    <t>Пульсоксиметр №1</t>
  </si>
  <si>
    <t>Пумпан капли 20мл</t>
  </si>
  <si>
    <t>Пяточки крем 30гр</t>
  </si>
  <si>
    <t>Пяточки крем 60гр</t>
  </si>
  <si>
    <t>Рабез-Д капс 20мг+30мг №30</t>
  </si>
  <si>
    <t>Радофен таб. 50мг/10мг №30</t>
  </si>
  <si>
    <t>Рамкацин р-р д/ин 100мг/2мл по 2мл №1</t>
  </si>
  <si>
    <t>Ран-Дит-150мг. №100</t>
  </si>
  <si>
    <t>Расторопши масло капс 350мг №100</t>
  </si>
  <si>
    <t>Ребагит таб. 100мг №30</t>
  </si>
  <si>
    <t>Ревартон пор. д/инъек. 1г №1</t>
  </si>
  <si>
    <t>Ревмастоп амп. 10мг/мл 1,5мл №5</t>
  </si>
  <si>
    <t>Ревмоксикам р-р 1% 1,5мл №5 Фармак</t>
  </si>
  <si>
    <t>Ревмоксикам супп. рект. по 0.015г №5</t>
  </si>
  <si>
    <t>Регидрационная МL соль пор №10  Малика Фарм</t>
  </si>
  <si>
    <t>Регидрейд р-р для приема внутрь (Регидратсионий)</t>
  </si>
  <si>
    <t>Резомин пор. для приг. 15г №5</t>
  </si>
  <si>
    <t>Резомин Регидрационная соль 15г №5</t>
  </si>
  <si>
    <t>Рейтоил капс №20 (омега 3)</t>
  </si>
  <si>
    <t>Рексетин таб. 20мг №30</t>
  </si>
  <si>
    <t>Релафлор капли 8мл№1</t>
  </si>
  <si>
    <t>Ременс капи 50мл</t>
  </si>
  <si>
    <t>Реналка сир. 100мл</t>
  </si>
  <si>
    <t>Ренгалин 100мл</t>
  </si>
  <si>
    <t>Ренгалин таб. №20</t>
  </si>
  <si>
    <t>Ренни таб. жев. со вкусом апельсина №24</t>
  </si>
  <si>
    <t>Ренни таб. жев. со вкусом ментола №24</t>
  </si>
  <si>
    <t>Ренпрос №60 капсула (Neo Labs) 12,23</t>
  </si>
  <si>
    <t>Реосорбилакт  р-р для инф. 200мл Дента</t>
  </si>
  <si>
    <t>Реосорбилакт  р-р для инф. 200мл МР МР МР_x001F__x001F_</t>
  </si>
  <si>
    <t>Реосорбилакт  р-р для инф. 200мл Юрий</t>
  </si>
  <si>
    <t>Репейное масло (против выпадение волос) 100мл</t>
  </si>
  <si>
    <t>Респикур таб. №10</t>
  </si>
  <si>
    <t>Респикур-АТ сироп 100мл №1</t>
  </si>
  <si>
    <t>Ретоболил-50 2мл №1 Индия</t>
  </si>
  <si>
    <t>Рефлкес таб №30</t>
  </si>
  <si>
    <t>Рибоксин  р-р д/ин 2% 10мл №10 Русс</t>
  </si>
  <si>
    <t>Рибоксин 200мг таб №10 Русс</t>
  </si>
  <si>
    <t>Рибоксин 20мг 10мл №10 М Р</t>
  </si>
  <si>
    <t>Ривертон р-р инфузий 200мл 01,23</t>
  </si>
  <si>
    <t>Римоксикам  для инъекций 1% /1,5мл М Р</t>
  </si>
  <si>
    <t>Римонал гл капли 0,2% 5мл №1</t>
  </si>
  <si>
    <t>Римосопт глаз капли 5мл №1</t>
  </si>
  <si>
    <t>Риназолин 0,1% 10 мл в п/э фл,</t>
  </si>
  <si>
    <t>Риназолин 0,25% 10 мл в п/э фл,</t>
  </si>
  <si>
    <t>Риназолин 0,5% 10 мл, в п/э фл,</t>
  </si>
  <si>
    <t>Риназолин спрей наз. 0,05% 15мл</t>
  </si>
  <si>
    <t>Рингер инф 100 мл МР МР МР</t>
  </si>
  <si>
    <t>Рингер инф 250мл МР МР МР</t>
  </si>
  <si>
    <t>Рингер Лактат 200мл Дента</t>
  </si>
  <si>
    <t>РинзаСип+ВитС пак.5г№10 Лимон</t>
  </si>
  <si>
    <t>Риноцил капли назальные 15мл</t>
  </si>
  <si>
    <t>Ринт спрей назальн. с ментолом 0,5мг/г 10г</t>
  </si>
  <si>
    <t>Рипронат амп. 100мг/5мл №10</t>
  </si>
  <si>
    <t>Рипронат капс 500мг №60</t>
  </si>
  <si>
    <t>Рифампицин капс 150мг №20 Фармасинтез</t>
  </si>
  <si>
    <t>Ровамицин таб. 1,5млн. №16 Sanofi-Aventis</t>
  </si>
  <si>
    <t>Роздей 10мг  таб №30</t>
  </si>
  <si>
    <t>Роздей 20мг  таб №30</t>
  </si>
  <si>
    <t>Роксера таб 10 мг №30</t>
  </si>
  <si>
    <t>Роксера таб 15 мг №30</t>
  </si>
  <si>
    <t>Роксера таб 20 мг №30</t>
  </si>
  <si>
    <t>Роксера таб 30 мг №30</t>
  </si>
  <si>
    <t>Роксера таб 5 мг  №30</t>
  </si>
  <si>
    <t>Роксет гель 2% д/наруж 40г (Троксерутин)</t>
  </si>
  <si>
    <t>Ролиноз таб 10мг №10</t>
  </si>
  <si>
    <t>Ронофлор бэби саше №10</t>
  </si>
  <si>
    <t>Ронофлор кидис саше №10 ( бифилакс кидс)</t>
  </si>
  <si>
    <t>Ростишан сироп 100мл</t>
  </si>
  <si>
    <t>Ротавит Кардио саше №20</t>
  </si>
  <si>
    <t>Ротадон саше №20</t>
  </si>
  <si>
    <t>Роталуд таб. 2мг №10</t>
  </si>
  <si>
    <t>Роталут таб  4мг №10</t>
  </si>
  <si>
    <t>Роталфен амп. 50мг/2мл №5</t>
  </si>
  <si>
    <t>Румалон р-р д/ин 1мл №5</t>
  </si>
  <si>
    <t>Румизол с/а 500мг №14</t>
  </si>
  <si>
    <t>Руферон-РН свечи 150000 МЕ №10</t>
  </si>
  <si>
    <t>Руферон-РН свечи 250000 МЕ №10</t>
  </si>
  <si>
    <t>Рыбий жир  "LIK"  с вит A ,D,E  0,3г  №50</t>
  </si>
  <si>
    <t>Рыбий жир "LIK" с вит А.D,E 0.78г №60</t>
  </si>
  <si>
    <t>Рыбий жир Форте капс 350мг №100</t>
  </si>
  <si>
    <t>Сагацефпо 100 DT таб 100мг №10</t>
  </si>
  <si>
    <t>Салдон плюс леденцы .банки со вкусом Мёд и лимона №100</t>
  </si>
  <si>
    <t>Салициловая к-та р-р спирт 1% 25мл №1</t>
  </si>
  <si>
    <t>Салициловая к-та р-р спирт.2%.20мл.№1</t>
  </si>
  <si>
    <t>Салфетка 16см х 14см №10</t>
  </si>
  <si>
    <t>Салфетка 45см х 29см №5</t>
  </si>
  <si>
    <t>Сальбутамол аэро 100 мкг 12мл Бионон фарм</t>
  </si>
  <si>
    <t>Сальбутамол-Нео 100МКГ/Доза 12мл/200доз</t>
  </si>
  <si>
    <t>Санипласт 72*19мм №100</t>
  </si>
  <si>
    <t>Сановит сироп 100мл.флакон №1</t>
  </si>
  <si>
    <t>Сарпал таб жеват №12</t>
  </si>
  <si>
    <t>Седавит р-р 100мл</t>
  </si>
  <si>
    <t>Седарекс таб.2мг№30</t>
  </si>
  <si>
    <t>Седолин капс №30</t>
  </si>
  <si>
    <t>Секнидокс таб 1000мг. №2 блистер</t>
  </si>
  <si>
    <t>Секразол взр Сироп 150мл Нобел</t>
  </si>
  <si>
    <t>Секразол сироп 100мл (педиатрический)</t>
  </si>
  <si>
    <t>Секстафаг Фл №4 20мл Микроген</t>
  </si>
  <si>
    <t>Селемин 10 плюс р-р д/инф. 500мл №1</t>
  </si>
  <si>
    <t>Семилакт таб 50/ 20мг №10</t>
  </si>
  <si>
    <t>Сенадексин таб №10 Дента</t>
  </si>
  <si>
    <t>Сенадексин таб №10 Зуннур Фарм</t>
  </si>
  <si>
    <t>СептаНазал спрей 0,05 мг/доз 10мл</t>
  </si>
  <si>
    <t>СептаНазал спрей 0,1 мг/доз 10мл</t>
  </si>
  <si>
    <t>Септолете Тотал спрей 30 мл. №1 КРКА</t>
  </si>
  <si>
    <t>Сермин р-р динф. 100мл</t>
  </si>
  <si>
    <t>Сермин р-р динф. 250мл</t>
  </si>
  <si>
    <t>Сермион 10мг №50</t>
  </si>
  <si>
    <t>Серная мазь 25г Дента</t>
  </si>
  <si>
    <t>Серофер амп 100мг 5мл №5</t>
  </si>
  <si>
    <t>Серравин таб. 10мг №100</t>
  </si>
  <si>
    <t>Серрата таб.10мг№30</t>
  </si>
  <si>
    <t>Сертогамма амп. 2мл №5</t>
  </si>
  <si>
    <t>Сертоспан сусп. д/ин. амп. 5мг+2мг/мл №1</t>
  </si>
  <si>
    <t>Сертофен амп  р-р д/и 50мг/2мл №5</t>
  </si>
  <si>
    <t>Сертофен таб 25мг №20</t>
  </si>
  <si>
    <t>Силавит Д жеват таб №30</t>
  </si>
  <si>
    <t>Силдекс (Силденафил) 100мг №4 Малика фарм</t>
  </si>
  <si>
    <t>Силеректа-20 20 мг табл №10</t>
  </si>
  <si>
    <t>Сималгель сусп д/приема внутрь  250мл. №1</t>
  </si>
  <si>
    <t>Синафлан -МР мазь 15гр</t>
  </si>
  <si>
    <t>Синафлан мазь 0,025% 15г Дента</t>
  </si>
  <si>
    <t>Синглон таб. 10мг №28</t>
  </si>
  <si>
    <t>Синглон таб. 4мг №28</t>
  </si>
  <si>
    <t>Синглон таб. 5мг №28</t>
  </si>
  <si>
    <t>Синегра 25мг таб №4</t>
  </si>
  <si>
    <t>Синегра 50мг таб №4 Нобел</t>
  </si>
  <si>
    <t>Синегра Лонг таб №4</t>
  </si>
  <si>
    <t>Синтомицин 250мг с/в №10 МР</t>
  </si>
  <si>
    <t>Синтомицин линимент 10% 25г Нижфарм</t>
  </si>
  <si>
    <t>Синтомицин мазь 5% 25г МР_x001F__x001F_</t>
  </si>
  <si>
    <t>Синукап №60 кап (Neo Labs)</t>
  </si>
  <si>
    <t>Синупрет №50 Спринг Фарм</t>
  </si>
  <si>
    <t>Синупрет капли 100мл</t>
  </si>
  <si>
    <t>Синупрет Форте таб. №20</t>
  </si>
  <si>
    <t>Сиофор 1000 таб. №60 "Берлин Хими"</t>
  </si>
  <si>
    <t>Сиофор 500 №60</t>
  </si>
  <si>
    <t>Сиофор 850 таб. №60</t>
  </si>
  <si>
    <t>Сипозмалгон раствор  5 мл №5 М Р</t>
  </si>
  <si>
    <t>Сириглобин сироп 200мл</t>
  </si>
  <si>
    <t>Сирикал таб. №30</t>
  </si>
  <si>
    <t>Сиримол капс. №30</t>
  </si>
  <si>
    <t>Сироп бромгексин 40мл Дента</t>
  </si>
  <si>
    <t>Сироп бромгексин 40мл Радикс</t>
  </si>
  <si>
    <t>Сироп Бромгексин 90мл Дента</t>
  </si>
  <si>
    <t>Сироп пертуссин 50мл Дента</t>
  </si>
  <si>
    <t>Сироп солодкового  50мл Дента</t>
  </si>
  <si>
    <t>Сироп холосас  140мл№1</t>
  </si>
  <si>
    <t>Сиспрес 250мг таб №14</t>
  </si>
  <si>
    <t>Сиспрес 500мг таб №14 Нобел</t>
  </si>
  <si>
    <t>Сиспрес 750мг таб №14 Нобел</t>
  </si>
  <si>
    <t>Система Emery Farm!!!</t>
  </si>
  <si>
    <t>Система Хитой</t>
  </si>
  <si>
    <t>Сита Мет таб. 50мг/1000мг №28</t>
  </si>
  <si>
    <t>СитаМет таб.50мг/500мг№28 Ситаглиптин+Метформин</t>
  </si>
  <si>
    <t>Ск Аквадетрим плюс капли 10мл польша  02,23</t>
  </si>
  <si>
    <t>СК Актисерил амп. 5% 5мл №5</t>
  </si>
  <si>
    <t>СК Враггрипп Зинг таб шип №2  02,23</t>
  </si>
  <si>
    <t>Ск Дипиридамол таб 25мг №120 Нобел  02,23</t>
  </si>
  <si>
    <t>СК Женагра 50мг таб №4 (04 2023)</t>
  </si>
  <si>
    <t>СК Зедпар Форте №10</t>
  </si>
  <si>
    <t>СК Зимокард МR 35мг таб №30</t>
  </si>
  <si>
    <t>СК Неорем Хот пор. со вкусом лимона 5г №5</t>
  </si>
  <si>
    <t>Ск Од-Левокс 500мг таб №5  02,23</t>
  </si>
  <si>
    <t>Ск Остемакс 70 комфорт 70мг №4 таб.  01,23</t>
  </si>
  <si>
    <t>СК Реофаст р-р для инф 200мл 04,23</t>
  </si>
  <si>
    <t>СК Ривертон р-р инфузий 200мл  01,23</t>
  </si>
  <si>
    <t>СК Ротабиотик Беби саше №10  02,23</t>
  </si>
  <si>
    <t>СК Теофил SR 100мг капс №30</t>
  </si>
  <si>
    <t>СК Теофил SR 200мг капс №30</t>
  </si>
  <si>
    <t>Ск Тиотриазолин таб. 200мг №90 01,2023</t>
  </si>
  <si>
    <t>Ск Флюдар капс 150мг №1 (Флуканазол) 01,23</t>
  </si>
  <si>
    <t>СК Флюдар капс 50мг №7 (Флуканазол) 01,23</t>
  </si>
  <si>
    <t>СК Энцефаколин Нео р-р внутрь 100мг/мл 30мл  01,23</t>
  </si>
  <si>
    <t>Скапел Хир, Лезвие, Размер 10</t>
  </si>
  <si>
    <t>Скапел Хир, Лезвие, Размер 12</t>
  </si>
  <si>
    <t>Скапел Хир, Лезвие, Размер 13</t>
  </si>
  <si>
    <t>СлезаВит капсулы №30</t>
  </si>
  <si>
    <t>Слезол форте г/г 15мл №1</t>
  </si>
  <si>
    <t>Слидерон таб. 16мг №20</t>
  </si>
  <si>
    <t>Смекта Био, 3г, пакетик, №20 Bio Max Pharm, ООО</t>
  </si>
  <si>
    <t>Солегон таб №80</t>
  </si>
  <si>
    <t>Соленацин таб.5мг№100</t>
  </si>
  <si>
    <t>Солтек таб №60</t>
  </si>
  <si>
    <t>Соль для ванн "Детская череда" 500гр.</t>
  </si>
  <si>
    <t>Сона Беби Нео сироп для детей 150мл</t>
  </si>
  <si>
    <t>Сонапакс 10мг таб. №60</t>
  </si>
  <si>
    <t>Сонапакс 25мг таб. №60</t>
  </si>
  <si>
    <t>Сорбилакт инф 200мл Юрий</t>
  </si>
  <si>
    <t>Соска FISH  рангли   №1</t>
  </si>
  <si>
    <t>Соска №1</t>
  </si>
  <si>
    <t>Соска занжирли CIHOCO CI-019</t>
  </si>
  <si>
    <t>Спеман таб. №100</t>
  </si>
  <si>
    <t>Спеман-Форте таб.№100</t>
  </si>
  <si>
    <t>Спилактон таб 50мг №20</t>
  </si>
  <si>
    <t>Спилотта таб. 50мг/500мг №20</t>
  </si>
  <si>
    <t>Спилотта таб.50мг/1000мг№18</t>
  </si>
  <si>
    <t>Спирт 70% 50мл Раьно Мед</t>
  </si>
  <si>
    <t>Спринцовка Пластизольная БЕ-13 520мл</t>
  </si>
  <si>
    <t>Спринцовка Пластизольная БЕ-16 760мл</t>
  </si>
  <si>
    <t>Спринцовка Пластизольная ПВХ А-12</t>
  </si>
  <si>
    <t>Спринцовка Пластизольная ПВХ А-15</t>
  </si>
  <si>
    <t>Спринцовка Пластизольная ПВХ А-6 мяхки нак</t>
  </si>
  <si>
    <t>Спринцовка Пластизольная ПВХ А-9 мяхки нак</t>
  </si>
  <si>
    <t>Спринцовка Пластизольная ПВХ АЕ-11 210мл</t>
  </si>
  <si>
    <t>Спринцовка Пластизольная ПВХ АЕ-13 330мл мяхки нак</t>
  </si>
  <si>
    <t>Спринцовка Пластизольная ПВХ АЕ-15 500мл мяхки нак</t>
  </si>
  <si>
    <t>Спринцовка Пластизольная ПВХ Б-12</t>
  </si>
  <si>
    <t>Спринцовка Пластизольная ПВХ Б-9</t>
  </si>
  <si>
    <t>Стазекс таб. 75мг №30</t>
  </si>
  <si>
    <t>Стаминал раствор для инъекций 10% 5мл №5</t>
  </si>
  <si>
    <t>Стоп Геморрой  мазь 20г Ангор Фарм</t>
  </si>
  <si>
    <t>Стоп Грибок мазь 15г Ангор Фарм</t>
  </si>
  <si>
    <t>Стрептомицин 1,0г М Р</t>
  </si>
  <si>
    <t>Стрептомицин пор. 1,0г Русс</t>
  </si>
  <si>
    <t>Стрептоцид мазь линимент 5% 30г Нижфарм</t>
  </si>
  <si>
    <t>Стрепхелз паст  (Клубника) №24</t>
  </si>
  <si>
    <t>Стрепхелз паст  (Лимон) №24</t>
  </si>
  <si>
    <t>Стрепхелз паст  (Мед и Лимон) №24</t>
  </si>
  <si>
    <t>Структум капc. 500мг №60</t>
  </si>
  <si>
    <t>Суарон пор. 100мг №10</t>
  </si>
  <si>
    <t>Суарон таб. 100мг №20</t>
  </si>
  <si>
    <t>Сувитол р-р.инф.200мл№1</t>
  </si>
  <si>
    <t>Сукрофер р-р д/ин. 20мг/мл 5мл №5</t>
  </si>
  <si>
    <t>Сукрофил сус, 1г/10мл 200мл</t>
  </si>
  <si>
    <t>Сульфасалазин 500мг №50 КРКА</t>
  </si>
  <si>
    <t>Сульфацил натрий гл капли 20% 5мл Дента</t>
  </si>
  <si>
    <t>Сумамигрен таб. 100мг №6</t>
  </si>
  <si>
    <t>Сумамигрен таб. 50мг №6</t>
  </si>
  <si>
    <t>Суннат кийими 1 №1</t>
  </si>
  <si>
    <t>Суннат кийими 2 №1</t>
  </si>
  <si>
    <t>Супер день и ночь таб №10</t>
  </si>
  <si>
    <t>Супер Слим фиточай клубника 2г №30</t>
  </si>
  <si>
    <t>Супер чистотел лосьон 1мл№1 FAHRI DIL MAX</t>
  </si>
  <si>
    <t>Супер чистотел лосьон 3мл№1 FAHRI DIL MAX</t>
  </si>
  <si>
    <t>Суперкаин Форте 2мл №10 С.Т</t>
  </si>
  <si>
    <t>Супралгин для инъ 20мг/1мл МР №5</t>
  </si>
  <si>
    <t>Супралгон д/иньек. 20мг/мл 1мл №10 Биофарма</t>
  </si>
  <si>
    <t>Супрастин 20мг 1мл.№5 Эггис!!!</t>
  </si>
  <si>
    <t>Суприма - Лор паст №16 Лимон</t>
  </si>
  <si>
    <t>Суприма - Лор паст №16 Мед-Лимон</t>
  </si>
  <si>
    <t>Суприма плюс мазь 20гр</t>
  </si>
  <si>
    <t>Суставаин таб №60</t>
  </si>
  <si>
    <t>Сут Идиш  Мimiku-14. 125мл№1</t>
  </si>
  <si>
    <t>Сут Идиш  Мimiku-15. 240мл№1</t>
  </si>
  <si>
    <t>Сут Идиш 240мл 240мл</t>
  </si>
  <si>
    <t>Сут Идиш Бутылочка Мimiku-18. 250мл№1</t>
  </si>
  <si>
    <t>Сут идиш запас соска №100 Пакетик</t>
  </si>
  <si>
    <t>Сут идиш салафан SMALL BABY</t>
  </si>
  <si>
    <t>Сэнипар сусп 50мл М Р</t>
  </si>
  <si>
    <t>Сэнипар таб №100 М Р</t>
  </si>
  <si>
    <t>Сюпаркин амп 2мл №10 М Р</t>
  </si>
  <si>
    <t>Т-Лайф лиоф р-р  10мг №5</t>
  </si>
  <si>
    <t>Таблетки  от кашля №10 Русс</t>
  </si>
  <si>
    <t>Тадимакс таб №42</t>
  </si>
  <si>
    <t>Тайгерон инф 100мл №1 Левофлоксацин</t>
  </si>
  <si>
    <t>Тайгерон таб.500мг№5 Левофлоксацин</t>
  </si>
  <si>
    <t>ТайКолд пор. д/внутрь с аромато малины №10</t>
  </si>
  <si>
    <t>Тайлол Фен Хот пор №12 Нобел</t>
  </si>
  <si>
    <t>Тайлол Хот С порошок №12 Нобел</t>
  </si>
  <si>
    <t>Талк Enchanteur malaysia 125гр (женский)</t>
  </si>
  <si>
    <t>Тамбак  таб. 200мг №10</t>
  </si>
  <si>
    <t>Тампон Женский №10</t>
  </si>
  <si>
    <t>Тампоны жен. гигиенич."BILMA"№1/10</t>
  </si>
  <si>
    <t>Тамсапрост капс 0,4мг №30</t>
  </si>
  <si>
    <t>Танометр  №1 KD-Meter Германия</t>
  </si>
  <si>
    <t>Танометр "АДЪЮТОР "</t>
  </si>
  <si>
    <t>Тардиферон таб 80мг №30</t>
  </si>
  <si>
    <t>Таркел (Кеторолак) 30мг/1мл №10</t>
  </si>
  <si>
    <t>Тауфон  капли гл 4% 5мл №1 Фармак</t>
  </si>
  <si>
    <t>Тауфон  капли гл 40мг 5мл №1 Белмед</t>
  </si>
  <si>
    <t>Тауфон 4% 5 мл  МР МР</t>
  </si>
  <si>
    <t>Тафазол гл. капли 10мл №1</t>
  </si>
  <si>
    <t>Тацеф в/комл с водой д/и 5мл  Ультра</t>
  </si>
  <si>
    <t>Тебантин капс. 300мг №50 (Габатен)</t>
  </si>
  <si>
    <t>Тевартем 100мл (Тивортин)</t>
  </si>
  <si>
    <t>Тезарин таб. 100мкг №50</t>
  </si>
  <si>
    <t>Тезарин таб. 50мкг №50</t>
  </si>
  <si>
    <t>Теймурова спрей д/ног 150мл№1</t>
  </si>
  <si>
    <t>Текназол капс 100мг №15 Нобел</t>
  </si>
  <si>
    <t>Тексивел пор. для приг.р-ра 20 мг №1</t>
  </si>
  <si>
    <t>Телсартан 80мг №30</t>
  </si>
  <si>
    <t>Телсартан Н таб. 40мг+12,5мг №28</t>
  </si>
  <si>
    <t>Темпалгин таб №20</t>
  </si>
  <si>
    <t>Теникам лиоф.пор. 20мг, р-тель 2мл №1</t>
  </si>
  <si>
    <t>Тенокс 10 мг №30</t>
  </si>
  <si>
    <t>Тенокс 5мг №30</t>
  </si>
  <si>
    <t>Тенотен Взр таб. №40</t>
  </si>
  <si>
    <t>Тенотен детский таб. №40</t>
  </si>
  <si>
    <t>Терафлекс Адванс капс №120</t>
  </si>
  <si>
    <t>Терафлекс Хондрокрем крем 100г 100г</t>
  </si>
  <si>
    <t>Терафлю SP грип/прост пор №10 Спринг Фарм (Тетрафлю)</t>
  </si>
  <si>
    <t>Терафлю от грип/прост. пор. №10 (лимон)</t>
  </si>
  <si>
    <t>Терафлю пор лимон №10 Малика Фарм</t>
  </si>
  <si>
    <t>Терафлю пор лимон №10 МР МР</t>
  </si>
  <si>
    <t>Терафлю Экстра пор. д/пр.внутрь №10 (лимон)</t>
  </si>
  <si>
    <t>Тербизил крем 1%.15г№1</t>
  </si>
  <si>
    <t>Тержинан таб.ваг.№6</t>
  </si>
  <si>
    <t>Тест для опр беремен "MAX TEST"</t>
  </si>
  <si>
    <t>Тетрациклин 1% гл мазь 10г Дента</t>
  </si>
  <si>
    <t>Тетрациклин мазь глазная 1% 3г Русс</t>
  </si>
  <si>
    <t>Тетрациклин мазь глазная 1% 3г.№1 Индия</t>
  </si>
  <si>
    <t>Тетрациклин таб 0,1г №20. Русс</t>
  </si>
  <si>
    <t>Тивортин р-р 100мл МР МР МР МР</t>
  </si>
  <si>
    <t>Тивортин р-р.инф.100мл№1 Юрия!!!</t>
  </si>
  <si>
    <t>Тивортин-Аспартат р-р.орал.200мг/мл200мл№1</t>
  </si>
  <si>
    <t>Тизалуд таб 4мг №30</t>
  </si>
  <si>
    <t>Тизин спрей наз.0.05%10мл№1</t>
  </si>
  <si>
    <t>Тизин спрей наз.0.1%10мл№1</t>
  </si>
  <si>
    <t>Тималин пор д/инъек 10мг 1мл №10!! Нагрузка</t>
  </si>
  <si>
    <t>Тималол кап.гл 0,5%.5мл№1 река мед</t>
  </si>
  <si>
    <t>Тимис для детей и взрослых</t>
  </si>
  <si>
    <t>Тимопресс гл.капли 0.5%-5мл</t>
  </si>
  <si>
    <t>Тиодекс гель наружного 30г Нобел</t>
  </si>
  <si>
    <t>Тиотразалим амп. 2,5 % 4 мл. №10 М Р</t>
  </si>
  <si>
    <t>Тиотриазолин амп.2.5%.4мл№10 Артериум</t>
  </si>
  <si>
    <t>Тиоцетам амп 10мл №10 (тиокситам) М Р</t>
  </si>
  <si>
    <t>Тиоцетам амп 5мл №10 Артериум!!!</t>
  </si>
  <si>
    <t>Тиоцетам р-р 10мл №10 Артериум</t>
  </si>
  <si>
    <t>Тирозол 5мг таб №50</t>
  </si>
  <si>
    <t>Тирозол таб. 10мг№50</t>
  </si>
  <si>
    <t>Тиш чутка резинкали SAFF каробка</t>
  </si>
  <si>
    <t>Тобра глазные/ушные капли 10мл</t>
  </si>
  <si>
    <t>Тобра-Д глазные/ушные капли 10мл</t>
  </si>
  <si>
    <t>Тобрадроп капли г/л 0,3% 5мл Асептика</t>
  </si>
  <si>
    <t>Токсивенол р-р 1,5мг 3мл №10</t>
  </si>
  <si>
    <t>Токсидокс капли 5мг 10мл</t>
  </si>
  <si>
    <t>Токсидокс капс 5мг №10</t>
  </si>
  <si>
    <t>Толпирекс таб. 150мг №30</t>
  </si>
  <si>
    <t>Толпирекс таб. 50мг №30</t>
  </si>
  <si>
    <t>Тонгат Голд 500мг капс №10</t>
  </si>
  <si>
    <t>Тонгкат.Али-Кувват капс.0.4мг№15 Леч.Эрекции</t>
  </si>
  <si>
    <t>Тонзипрет капли 50мл</t>
  </si>
  <si>
    <t>Тонопрост капс. 0,4мг №30</t>
  </si>
  <si>
    <t>Торватор таб. 10мг №20</t>
  </si>
  <si>
    <t>Торватор таб.20мг№20</t>
  </si>
  <si>
    <t>Торпедо ДХ таб 100мг №4</t>
  </si>
  <si>
    <t>Торрокс р-р д/инф. 5% 200мл</t>
  </si>
  <si>
    <t>Торрокс раст инф 5% 100мл</t>
  </si>
  <si>
    <t>Торсид таб. 5мг №30 "Farmak"</t>
  </si>
  <si>
    <t>Торсид таб.10мг №30 Фармак</t>
  </si>
  <si>
    <t>Тотема 10мл №20</t>
  </si>
  <si>
    <t>Травамакс Банка №150</t>
  </si>
  <si>
    <t>Травамакс Плюс травяные гран. 5гр №5</t>
  </si>
  <si>
    <t>Травамалс плус №5 пор Malika laboratories_x001F__x001F_</t>
  </si>
  <si>
    <t>Траврелакс Банка №100</t>
  </si>
  <si>
    <t>Траврелакс гран №6</t>
  </si>
  <si>
    <t>Траврелакс Нео сироп 100мл</t>
  </si>
  <si>
    <t>Трайкор таб 145мг №30 Аббот</t>
  </si>
  <si>
    <t>Транацид р-р для инек 5мл №5 (Тремин)</t>
  </si>
  <si>
    <t>Трансакт таб 500мг №30 Ульрта</t>
  </si>
  <si>
    <t>Тренпентал амп. 2% 5мл №10 Русс</t>
  </si>
  <si>
    <t>Трентал 20мг/мл 5мл №5 Мр Мр</t>
  </si>
  <si>
    <t>Трентал 20мг/мл 5мл №5 Санофи</t>
  </si>
  <si>
    <t>Трентал С.Т. амп 2% 5мл №5</t>
  </si>
  <si>
    <t>Трентал таб. 400мг №20 Sanofi</t>
  </si>
  <si>
    <t>Трибуфил капс №30</t>
  </si>
  <si>
    <t>Тригрим таб 10мг №30</t>
  </si>
  <si>
    <t>Тридерм крем 15г Schering Plough</t>
  </si>
  <si>
    <t>Тридокс крем 15г</t>
  </si>
  <si>
    <t>Трикопол Гее  №20 Индия</t>
  </si>
  <si>
    <t>Тримедат 200мг №30</t>
  </si>
  <si>
    <t>Тримеик таб. 4мг/1.25мг/5мг №30</t>
  </si>
  <si>
    <t>Тримеик таб. 8мг/2,5мг/5мг №30</t>
  </si>
  <si>
    <t>Тримол таб №100 (Турмол) МР МР МР</t>
  </si>
  <si>
    <t>Тримол таб. №100</t>
  </si>
  <si>
    <t>Триодекс 5мл капли глазные и ушные</t>
  </si>
  <si>
    <t>Трисептол таб. 100мг/20мг №20</t>
  </si>
  <si>
    <t>Трисол 250мл Река Мед</t>
  </si>
  <si>
    <t>Триттико таб. 150мг №20</t>
  </si>
  <si>
    <t>Трихопол 500мг таб ваг №10</t>
  </si>
  <si>
    <t>Трихопол таб. 250мг №20 Полша</t>
  </si>
  <si>
    <t>Тровокоф классик паст. мята.№24</t>
  </si>
  <si>
    <t>Троксевазин 300мг кап. №50 Actavis</t>
  </si>
  <si>
    <t>Троксерутин Гель 2% 25г Дента</t>
  </si>
  <si>
    <t>Троксерутин гель 2% 40г "Зеленая Дубрава"</t>
  </si>
  <si>
    <t>Тромбо АСС 100мг №30</t>
  </si>
  <si>
    <t>Тромбо АСС 50мг №30</t>
  </si>
  <si>
    <t>Тромбо Асс 75мг таб №30</t>
  </si>
  <si>
    <t>Тромбопол таб. 150мг №60 Полша</t>
  </si>
  <si>
    <t>Тромбопол таб. 75мг №60 (Тромбафон) Малика Фарм</t>
  </si>
  <si>
    <t>Тромбопол таб. 75мг №60 Полша</t>
  </si>
  <si>
    <t>Туммикол сироп 120мл</t>
  </si>
  <si>
    <t>Туссифен Бебе сироп 125мл</t>
  </si>
  <si>
    <t>Тутукон Нео р-р 250мл</t>
  </si>
  <si>
    <t>Уголь активированный- таб. 250мг№10 Ирбит</t>
  </si>
  <si>
    <t>Угри стоп наружного мазь 15г Ангор Фарм</t>
  </si>
  <si>
    <t>Укрлив таб. 250мг №30</t>
  </si>
  <si>
    <t>Улкарил 200мг таб №24</t>
  </si>
  <si>
    <t>Улкарил 400мг таб №25</t>
  </si>
  <si>
    <t>Улкарил 800мг таб №25</t>
  </si>
  <si>
    <t>Улкарил крем 10г</t>
  </si>
  <si>
    <t>Улкарил крем 2г</t>
  </si>
  <si>
    <t>Улуфор 850мг таб №60 Нобел</t>
  </si>
  <si>
    <t>Улькавис таб. 120мг №56</t>
  </si>
  <si>
    <t>Уни Фестал таб №100</t>
  </si>
  <si>
    <t>Унифезол р-р 200мл (Инфезол)</t>
  </si>
  <si>
    <t>Урализин плюс таб №30</t>
  </si>
  <si>
    <t>Уриклар капс №30</t>
  </si>
  <si>
    <t>Уролесан 25мл Галичфарм</t>
  </si>
  <si>
    <t>Уролесан капс №40</t>
  </si>
  <si>
    <t>Уролесан сироп 180мл</t>
  </si>
  <si>
    <t>Уронафф капс 400мг  №30</t>
  </si>
  <si>
    <t>Уростим таб. 50мг №10</t>
  </si>
  <si>
    <t>Урофурагин таб. 50мг №30</t>
  </si>
  <si>
    <t>Урсолив капс.250мг№50</t>
  </si>
  <si>
    <t>Урсомак капс. 300мг №20</t>
  </si>
  <si>
    <t>Урсосан 250мг капс №10 М Р</t>
  </si>
  <si>
    <t>Урсосан капс. 250мг №10 Промед</t>
  </si>
  <si>
    <t>Урфоцин гранулы 3г №1</t>
  </si>
  <si>
    <t>Успокоительные капли д/приема внутрь 50мл</t>
  </si>
  <si>
    <t>Успокой табл гомеоп.№20</t>
  </si>
  <si>
    <t>Утрожестан капс. 100мг №28</t>
  </si>
  <si>
    <t>Утрожестан капс. 200мг №14</t>
  </si>
  <si>
    <t>Ухо Чистка  №50 идишлик</t>
  </si>
  <si>
    <t>Факсимин 200мг таб №12</t>
  </si>
  <si>
    <t>Фаниган таб. №100</t>
  </si>
  <si>
    <t>Фаниган-Фаст гель 100г 100г 100г</t>
  </si>
  <si>
    <t>Фаниган-Фаст гель 30г.№1 Парацет.+Диклофенак</t>
  </si>
  <si>
    <t>Фармадекс гл.кап. 1мг/мл 10мл Фармак</t>
  </si>
  <si>
    <t>Фармазолин капли 0,1% 10мл в п/э фл.</t>
  </si>
  <si>
    <t>Фармазолин капли наз. 0,05% 10мл Фармак</t>
  </si>
  <si>
    <t>Фармазолин Н спрей наз.1мг 15мл</t>
  </si>
  <si>
    <t>Фарматекс супп. ваг. 18,9мг №10</t>
  </si>
  <si>
    <t>Фарожард таб. п/о 10мг №30</t>
  </si>
  <si>
    <t>Фарожард таб. п/о 25мг №30</t>
  </si>
  <si>
    <t>Фастум гель 2.5%.30г.№1</t>
  </si>
  <si>
    <t>ФДП 5г 50мл 1,6пор Лиоф 5г №1 Италия</t>
  </si>
  <si>
    <t>Феброфид гель 2,5% 30 г. Полфарма</t>
  </si>
  <si>
    <t>Феварин 100мг №15</t>
  </si>
  <si>
    <t>Феварин 50мг таб. №15</t>
  </si>
  <si>
    <t>Фезам кап.№60</t>
  </si>
  <si>
    <t>Фекрон крем 30гр</t>
  </si>
  <si>
    <t>Фемистрон крем интраваг 14г</t>
  </si>
  <si>
    <t>Фемостон конти 1/5 №28</t>
  </si>
  <si>
    <t>Фемостон1/10 таб. №28</t>
  </si>
  <si>
    <t>Фемостон2/10 таб. №28</t>
  </si>
  <si>
    <t>Фенасал пор.0.25мг№10 Антигельминт</t>
  </si>
  <si>
    <t>Фенибут таб. 250мг №20 Русс</t>
  </si>
  <si>
    <t>Фенилин-Здоровье таб. 30мг №20</t>
  </si>
  <si>
    <t>Фенкарол таб. 10мг №20</t>
  </si>
  <si>
    <t>Фенкарол таб. 25 мг. №20</t>
  </si>
  <si>
    <t>Фенкарол таб. 50 мг. №30</t>
  </si>
  <si>
    <t>Ферверк порош. д/приг р-ра 13.1г №10 Дента</t>
  </si>
  <si>
    <t>Ферекс р-р д/ин 20мг/5мл №5 Ультра</t>
  </si>
  <si>
    <t>Ферисфер сироп 100мл№1 Железа III</t>
  </si>
  <si>
    <t>Феркайл амп. 100мг/2мл №10 Бельгия</t>
  </si>
  <si>
    <t>Феркайл МР амп 100мг/2мл №5 МР</t>
  </si>
  <si>
    <t>Ферлатум р-р. 800мг/15мл №10</t>
  </si>
  <si>
    <t>Ферлатум-Фол р-р 800мг 15мл №10</t>
  </si>
  <si>
    <t>Феромакс капс. №30</t>
  </si>
  <si>
    <t>Ферофорт кап №30</t>
  </si>
  <si>
    <t>Ферофорт плюс сироп 200мл</t>
  </si>
  <si>
    <t>Ферретаб капс №30</t>
  </si>
  <si>
    <t>Ферро Фол капс №30</t>
  </si>
  <si>
    <t>Ферровелл амп 5мл №5 Железа</t>
  </si>
  <si>
    <t>Феррокал сироп 200мл №1</t>
  </si>
  <si>
    <t>Феррум Лек МР 50мг/5мл сироп 100мл МР</t>
  </si>
  <si>
    <t>Феррум Лек сироп 50мг/5мл 100мл Оргинал</t>
  </si>
  <si>
    <t>Феррум Лек таб, 100мг №30</t>
  </si>
  <si>
    <t>Ферсинол капли д/приема внутрь 50 мг/мл. 30мл №1</t>
  </si>
  <si>
    <t>Ферсинол-Z капсулы №30</t>
  </si>
  <si>
    <t>Ферсинол-С р-р для инек 5мл №5</t>
  </si>
  <si>
    <t>Физиотенз таб. 0,4мг №14</t>
  </si>
  <si>
    <t>Филокацин-500 амикацин сульфат №1</t>
  </si>
  <si>
    <t>Фильтрум таб.400мг№50</t>
  </si>
  <si>
    <t>Финалгон мазь 20г</t>
  </si>
  <si>
    <t>Фитин таб. 0,25г №40</t>
  </si>
  <si>
    <t>Фитолизин 100г паста</t>
  </si>
  <si>
    <t>Флебодиа 600мг №60 таб.</t>
  </si>
  <si>
    <t>Фленокс 4000 0,4мл №1</t>
  </si>
  <si>
    <t>Флоксадекс сусп. глазная/ушная 10мл</t>
  </si>
  <si>
    <t>Флузамед глаз капли 0,3% 5мл №1</t>
  </si>
  <si>
    <t>Флуканазол капс 150мг №10 Гуфик</t>
  </si>
  <si>
    <t>Флуканазол капс 150мг №3 Нова Фарм</t>
  </si>
  <si>
    <t>Флуконазол  капс 150мг №1 Озон ООО, Россия</t>
  </si>
  <si>
    <t>Флуконазол 0,2% 100мл М Р</t>
  </si>
  <si>
    <t>Флуконазол 50мг табл №10 Русс лекхим</t>
  </si>
  <si>
    <t>Флуконазол капс. 150мг №1 Атм</t>
  </si>
  <si>
    <t>Флуконазол р-р 0,2% 100мл №1 Радикс</t>
  </si>
  <si>
    <t>Флуконазол р-р д/инф. 100мл Reka Med Farm</t>
  </si>
  <si>
    <t>Флунол 150мг капс №1 Нобел</t>
  </si>
  <si>
    <t>Флунол 50мг капс №7 Нобел</t>
  </si>
  <si>
    <t>Флуоксетин Ланнахер капс. 20мг №20</t>
  </si>
  <si>
    <t>Флутинекс спрей наз. 14,5г 120доз</t>
  </si>
  <si>
    <t>Флуцинар гель 15г Полша</t>
  </si>
  <si>
    <t>Флуцинар мазь 15г Полша</t>
  </si>
  <si>
    <t>Флю-Кейр гран №5</t>
  </si>
  <si>
    <t>Флю-Кейр гран №5 без сахара</t>
  </si>
  <si>
    <t>Флю-Кейр гран №5 вкусом Лимона</t>
  </si>
  <si>
    <t>Флю-Кейр гран №5 вкусом мёда</t>
  </si>
  <si>
    <t>Флю-Кейр гран №5 вкусом шоколада</t>
  </si>
  <si>
    <t>Флюдитек 5% взр 125мл сироп</t>
  </si>
  <si>
    <t>Фолемикс таб 0,1г №50</t>
  </si>
  <si>
    <t>Фолликулина 0,05% в масле 1мл №10 Биофарма</t>
  </si>
  <si>
    <t>Фонипар таб №100 (Цинепар)</t>
  </si>
  <si>
    <t>Формидрон 50мл</t>
  </si>
  <si>
    <t>Форсил Со вкусом апелсин 3г №30</t>
  </si>
  <si>
    <t>Фосфоглив форте капс. №50</t>
  </si>
  <si>
    <t>Фосфомарин р-р для инек 5мл №5</t>
  </si>
  <si>
    <t>Фосфомед саше (пакетики) 3г №1</t>
  </si>
  <si>
    <t>Фосфорал гранулы 3г./8г.№1 пакетики Ромфарм</t>
  </si>
  <si>
    <t>Фосфоцинео грануль 3г №1</t>
  </si>
  <si>
    <t>Фосфоцинео пор.для р-рд/и 1г №10</t>
  </si>
  <si>
    <t>Фотил гл. капли 5мл</t>
  </si>
  <si>
    <t>Фотил Форте гл. капли 5мл</t>
  </si>
  <si>
    <t>Фракджоин капс 500мг №30 Курамакс</t>
  </si>
  <si>
    <t>Фрамидекс г/л и ушные 5мл</t>
  </si>
  <si>
    <t>Фринол спрей наз 15мл №1</t>
  </si>
  <si>
    <t>Фромилид 500мг №14</t>
  </si>
  <si>
    <t>Фторокорт мазь 0,1% 15г</t>
  </si>
  <si>
    <t>Фузол 150мг таб №1</t>
  </si>
  <si>
    <t>Фукорцин-ZNF 10мл№1</t>
  </si>
  <si>
    <t>Фунистатин пор сусп 48доз</t>
  </si>
  <si>
    <t>Фурадонин таб. 0,05г №10 Русс</t>
  </si>
  <si>
    <t>Фуразолидон таб. 50мг №10 Русс</t>
  </si>
  <si>
    <t>Фурамаг капс. 50мг N30</t>
  </si>
  <si>
    <t>Фурасол пор. д/приг. р-ра 1000мг №5 (пакетики)</t>
  </si>
  <si>
    <t>Фурацилин таб. 20мг №10 Татхимфарм</t>
  </si>
  <si>
    <t>Фурацилин таб.0.02г.№10 Зуннур Фарм</t>
  </si>
  <si>
    <t>Фуроталгин уш.капли 5мл</t>
  </si>
  <si>
    <t>Фуцис гель 0.5%.30г.№1 Флуконазол</t>
  </si>
  <si>
    <t>Фуцис ДТ таб 50мг №4</t>
  </si>
  <si>
    <t>Фуцис р-р.инф.0.2%.100мл№1 Флуконазол</t>
  </si>
  <si>
    <t>Фуцис таб. 100мг №4</t>
  </si>
  <si>
    <t>Фуцис таб. 200мг №4</t>
  </si>
  <si>
    <t>Фуцис таб.50мг№4 Флуконазол</t>
  </si>
  <si>
    <t>Хартил 10мг таб №28</t>
  </si>
  <si>
    <t>Хартил 5мг таб №28</t>
  </si>
  <si>
    <t>Хиконцил 500мг №16 капс</t>
  </si>
  <si>
    <t>Хиконцил сусп, 250мг/5мл 100мл,</t>
  </si>
  <si>
    <t>Хил крем 50г №1!!!</t>
  </si>
  <si>
    <t>Хилора глаз капли 0,15% 10мл №1</t>
  </si>
  <si>
    <t>Хирнекс амп 100мг 5мл №5 железа</t>
  </si>
  <si>
    <t>Хлорофиллипт 20мл спрей FARM FORMAT</t>
  </si>
  <si>
    <t>Хлорофиллипт р-р спирт 1% 100мл</t>
  </si>
  <si>
    <t>Холензим таб. №10 Русс</t>
  </si>
  <si>
    <t>Холисал 10г гель стоматол.</t>
  </si>
  <si>
    <t>Холудексан капсулы 300мг №20</t>
  </si>
  <si>
    <t>Холудексан сусп. 250мг/5мл по 100мл №1</t>
  </si>
  <si>
    <t>Хондроитин - АКОС мазь 5% 30г</t>
  </si>
  <si>
    <t>Хондроксид 250мг №60 таб.Нижфарм</t>
  </si>
  <si>
    <t>Хондроксин мазь 25г Дента</t>
  </si>
  <si>
    <t>Хондролин таб №50</t>
  </si>
  <si>
    <t>Хондромед р-р д/ин 200мг/2мл 2мл №10</t>
  </si>
  <si>
    <t>Хофитол сироп 120мл</t>
  </si>
  <si>
    <t>Хофитол таблетки №180</t>
  </si>
  <si>
    <t>Цевикап 10 мл. (Витамин С)</t>
  </si>
  <si>
    <t>Целектодерм мазь 25г Дента</t>
  </si>
  <si>
    <t>Целестадерм мазь 15гр МР</t>
  </si>
  <si>
    <t>Целестодерм-В с гарамицином крем 30г Schering Plough</t>
  </si>
  <si>
    <t>Централ-Б капс. №30</t>
  </si>
  <si>
    <t>Церебролизин 10мл №5</t>
  </si>
  <si>
    <t>Церебролизин 2 мл №10</t>
  </si>
  <si>
    <t>Церебролизин 20 мл №5</t>
  </si>
  <si>
    <t>Церебролизин 5 мл №5</t>
  </si>
  <si>
    <t>Церохол 1000 мг/4 мл 4 мл амп №5</t>
  </si>
  <si>
    <t>Церуглан 0,5% 2мл №10 М Р</t>
  </si>
  <si>
    <t>Церукал 10мг таб №50 Русс</t>
  </si>
  <si>
    <t>Церукал инек 2мл амп №10 Рус</t>
  </si>
  <si>
    <t>Цетикамол супп рект 100мг №10</t>
  </si>
  <si>
    <t>Цефазолин нат соль  1,0г Дента</t>
  </si>
  <si>
    <t>Цефазолин нат соль 0,1г М Р</t>
  </si>
  <si>
    <t>Цефазолин-АКОС пор. д/приг. р-ра 1г</t>
  </si>
  <si>
    <t>Цефанорм капс. №30</t>
  </si>
  <si>
    <t>Цефвин 250мг таб №10</t>
  </si>
  <si>
    <t>Цефвин 500мг таб №10</t>
  </si>
  <si>
    <t>Цефекон Д супп 100мг №10</t>
  </si>
  <si>
    <t>Цефекон Д супп 250мг №10</t>
  </si>
  <si>
    <t>Цефекон Д супп 50мг №10</t>
  </si>
  <si>
    <t>Цефепим пор д/р-ра 1г №1 Русс</t>
  </si>
  <si>
    <t>Цефолаб инек 1000 пор №1</t>
  </si>
  <si>
    <t>Цефолаб инек 2500 пор №1</t>
  </si>
  <si>
    <t>Цефолаб инек 500 пор №1</t>
  </si>
  <si>
    <t>Цефоперазон и Сульбактам 1,5 г 500мг №1 Никазон</t>
  </si>
  <si>
    <t>Цефоперазон и Сульбактам 2 г 2 г 2 г 500мг №1 Никазон</t>
  </si>
  <si>
    <t>Цефотаксим 1г №1 Дента</t>
  </si>
  <si>
    <t>Цефотаксим нат соль 1,0г Борисовский ЗМП, Беларусь</t>
  </si>
  <si>
    <t>Цефраз  таб. 100мг №10</t>
  </si>
  <si>
    <t>Цефраз сусп. 100мг/5мл по 60мл</t>
  </si>
  <si>
    <t>Цефтаб-100мг таб №10</t>
  </si>
  <si>
    <t>Цефтаб-200мг таб №10</t>
  </si>
  <si>
    <t>Цефтаб-50 сусп пор 60мл</t>
  </si>
  <si>
    <t>Цефтазидим-Акос пор д/приг р-ра в/в и в/м введ 1г №1</t>
  </si>
  <si>
    <t>Цефтарид нат соль 0,1г №1</t>
  </si>
  <si>
    <t>Цефтраксон нат соль 1,0г Ника!!!</t>
  </si>
  <si>
    <t>Цефтриаксон нат соль 0,1г МР</t>
  </si>
  <si>
    <t>Цефтриаксон нат соль 0,1г Русс</t>
  </si>
  <si>
    <t>Цефтриаксон соль 1,0г  Дента</t>
  </si>
  <si>
    <t>Цефтрксон и Сульбактам 1,5г 500мг №1 (Гарсид-с) Индия</t>
  </si>
  <si>
    <t>Цефуро 250мг флак. №1</t>
  </si>
  <si>
    <t>Цикловал таб. 500мг №10</t>
  </si>
  <si>
    <t>Циклон таб.100мг№4</t>
  </si>
  <si>
    <t>Циклон таб.50мг№4</t>
  </si>
  <si>
    <t>Циклон-DX таб.50мг№4</t>
  </si>
  <si>
    <t>Циклоферон амп.12.5%.2мл№5</t>
  </si>
  <si>
    <t>Цимбизон 1,5г (Цефоперазон и Сульбактам)</t>
  </si>
  <si>
    <t>Цинакс таб 310мг №30</t>
  </si>
  <si>
    <t>Цинарикс таб. №24</t>
  </si>
  <si>
    <t>Цинепар 75 р-р д/иньек 75мг 3мл №5</t>
  </si>
  <si>
    <t>Цинепар актив гель 20 гр</t>
  </si>
  <si>
    <t>Цинепар Ибу кид лайт сусп 100мл</t>
  </si>
  <si>
    <t>Цинепар Ибу кид сусп 100мл</t>
  </si>
  <si>
    <t>Цинепар Кид Лайт сусп. 60мл</t>
  </si>
  <si>
    <t>Цинепар-Кид сусп 60мл.№1</t>
  </si>
  <si>
    <t>Цинка таб. 20мг №10 Индия</t>
  </si>
  <si>
    <t>Цинкавит Ц капс №20  02,23</t>
  </si>
  <si>
    <t>Цинковая мазь 10% 25г Remedy</t>
  </si>
  <si>
    <t>Циннаризин "Соффарма" 25мг таб №50</t>
  </si>
  <si>
    <t>Циннаризин таб. 25мг №50 Rivulet</t>
  </si>
  <si>
    <t>Ципринол 250мг №10</t>
  </si>
  <si>
    <t>Ципрокцин  100мл МR</t>
  </si>
  <si>
    <t>Ципролет А таб. №10</t>
  </si>
  <si>
    <t>Ципрофлаксацин 250мг таб №10 Дента</t>
  </si>
  <si>
    <t>Ципрофлаксацин 500мг Мр таб №10 МР МР_x001F__x001F_</t>
  </si>
  <si>
    <t>Ципрофлаксацин 500мг таб №10 Дента</t>
  </si>
  <si>
    <t>Ципрофлаксацин 500мг таб №10 Ново Фарм</t>
  </si>
  <si>
    <t>Ципрофлоксацин-Акос гл.капли 0,3% 5мл Русс</t>
  </si>
  <si>
    <t>Ципроцин 250 №10 (Ципрофлоксацин)</t>
  </si>
  <si>
    <t>Цисто макс таб №60 (Канеферон)</t>
  </si>
  <si>
    <t>Цистон таб. №100</t>
  </si>
  <si>
    <t>Цистон таб. №100 Малика Фарм</t>
  </si>
  <si>
    <t>Цитиколин (Цитобрейн) р-р. 250мг/4мл №5</t>
  </si>
  <si>
    <t>Цитиокс П таб. 500мг/800мг №20</t>
  </si>
  <si>
    <t>Цитрамон П  таб. №6 (Уралбио)</t>
  </si>
  <si>
    <t>Цитрамон П таб. №10 Узхимфарм</t>
  </si>
  <si>
    <t>Цунами капс №60</t>
  </si>
  <si>
    <t>ЧАЙ  КУКУРУЗНЫЕ РЫЛЬЦА  (40 _x001F__x001F_гр.)</t>
  </si>
  <si>
    <t>ЧАЙ Коробка ПУСТЫРНИК (40гр.)</t>
  </si>
  <si>
    <t>Чай Мехригиё-21 коропка (с валерианой) 1,5г №12</t>
  </si>
  <si>
    <t>ЧАЙ МУНИС ЖЕЛУДОЧНЫЙ 30гр.</t>
  </si>
  <si>
    <t>ЧАЙ Мунис КОРЕНЬ СОЛОДКИ 30гр.</t>
  </si>
  <si>
    <t>ЧАЙ Мунис Коробка "БЕССМЕРТНИК" (30 гр.)</t>
  </si>
  <si>
    <t>ЧАЙ Мунис Коробка "ЖЕЛЧЕГОННЫЙ"  40 гр.</t>
  </si>
  <si>
    <t>ЧАЙ Мунис Коробка "ЗВЕРАБОЙ" 40гр</t>
  </si>
  <si>
    <t>ЧАЙ Мунис Коробка "ЗИЗИФОРА" (40 гр.)</t>
  </si>
  <si>
    <t>ЧАЙ Мунис Коробка "КАЛЕНДУЛА " 30 гр.</t>
  </si>
  <si>
    <t>ЧАЙ МУНИС Коробка "КОРА ДУБА"  40гр</t>
  </si>
  <si>
    <t>ЧАЙ Мунис Коробка "КРАПИВА" (40 гр.)</t>
  </si>
  <si>
    <t>ЧАЙ МУНИС Коробка "МЯТА" Ф.П. б/н (40гр.)</t>
  </si>
  <si>
    <t>ЧАЙ Мунис Коробка "ПИЖМА" (40гр.)</t>
  </si>
  <si>
    <t>ЧАЙ Мунис Коробка "ПОЛ-ПОЛА" (30 гр.)</t>
  </si>
  <si>
    <t>ЧАЙ Мунис Коробка "ПОЧЕЧНЫЙ" (40 гр.)</t>
  </si>
  <si>
    <t>ЧАЙ Мунис Коробка "ПУСТЫРНИК" (40гр.)</t>
  </si>
  <si>
    <t>ЧАЙ Мунис Коробка "РАСТОРОПША" (40 гр.)</t>
  </si>
  <si>
    <t>ЧАЙ МУНИС Коробка "РОМАШКА"  40гр.</t>
  </si>
  <si>
    <t>ЧАЙ МУНИС Коробка "СЕННА" Ф.П. б/н (40 гр.)</t>
  </si>
  <si>
    <t>ЧАЙ Мунис Коробка "УСПОКОИТЕЛЬНЫЙ " 40гр</t>
  </si>
  <si>
    <t>ЧАЙ Мунис Коробка "Череда" (30 гр.)</t>
  </si>
  <si>
    <t>ЧАЙ Мунис Коробка "ШИПОВНИК"  (40 гр.)</t>
  </si>
  <si>
    <t>ЧАЙ Мунис ОТ ГИПЕРТОНИИ 30 гр.</t>
  </si>
  <si>
    <t>ЧАЙ Мунис ПОЛ-ПОЛА 30гр.</t>
  </si>
  <si>
    <t>ЧАЙ Мунис ПОЧЕЧНЫЙ 30гр.</t>
  </si>
  <si>
    <t>ЧАЙ Мунис ХВОЩ 30гр.</t>
  </si>
  <si>
    <t>Черного Тмина "LIK" с вит. Е 0,78г кап. №50</t>
  </si>
  <si>
    <t>Чесночное  капс  "LIK" .0.78г.№50</t>
  </si>
  <si>
    <t>Чёрный тмин капс №50 Novatio</t>
  </si>
  <si>
    <t>Шампун  детский DALIN 650мл(оригинал)</t>
  </si>
  <si>
    <t>Шампун "Clear Ranaldo" 400мл Оргинал</t>
  </si>
  <si>
    <t>Шиповник пор пакетики 2г №20</t>
  </si>
  <si>
    <t>Шотут Сиркаси 250мл (Шишалик)</t>
  </si>
  <si>
    <t>Шпатель медицинский стерильный.№1</t>
  </si>
  <si>
    <t>Шприц 10мл Emery Farm!!!</t>
  </si>
  <si>
    <t>Шприц 2мл Emery Farm!!!</t>
  </si>
  <si>
    <t>Шприц 5мл Emery Farm!!!</t>
  </si>
  <si>
    <t>Шрейпирим сироп 50МЛ (Оптиприм)</t>
  </si>
  <si>
    <t>Эбуфин сусп для детей 100мл МР</t>
  </si>
  <si>
    <t>Эвалеп 250мг таб №50</t>
  </si>
  <si>
    <t>Эвалеп 500мг таб №50</t>
  </si>
  <si>
    <t>Эвика капс. №20</t>
  </si>
  <si>
    <t>Эвика капс. №60</t>
  </si>
  <si>
    <t>Эвказолин Аква спрей назал. 1мг 10мл</t>
  </si>
  <si>
    <t>Эгилок 100мг №60</t>
  </si>
  <si>
    <t>Эгилок таб. 25мг №60</t>
  </si>
  <si>
    <t>Эгилок таб. 50мг №60</t>
  </si>
  <si>
    <t>Эдем таб 5мг №30</t>
  </si>
  <si>
    <t>Экваликс таб №80</t>
  </si>
  <si>
    <t>Экватор таб. 10мг/5мг №30</t>
  </si>
  <si>
    <t>Экватор таб. 20мг/5мг №30</t>
  </si>
  <si>
    <t>Экзодерил Крем 1% 15г</t>
  </si>
  <si>
    <t>Экзодерил ЛАК лак д/ногтей 5% 2,5мл</t>
  </si>
  <si>
    <t>Экзодерил р-р 1% 10мл</t>
  </si>
  <si>
    <t>ЭкоДрай Кизил Extra Effect 35мл№1</t>
  </si>
  <si>
    <t>ЭкоДрай Кук спрей 35мл№1 Universal</t>
  </si>
  <si>
    <t>Экомед таб, 500мг №3 01,23</t>
  </si>
  <si>
    <t>Экостерин р-р 250мл (Сермин)</t>
  </si>
  <si>
    <t>Эксан капс №24</t>
  </si>
  <si>
    <t>Элевит Планирование и первый триместр таб. № 30</t>
  </si>
  <si>
    <t>Элевит Пронаталь №100</t>
  </si>
  <si>
    <t>Электро Кидс р-р д/инф. 100мл</t>
  </si>
  <si>
    <t>Эллезиум р-р д/ин 1,0мг/мл 5мл №10 (амп)</t>
  </si>
  <si>
    <t>Элтризин 5мг таб №10 Нобел</t>
  </si>
  <si>
    <t>Элфунат амп. 50мг/мл 5мл №5</t>
  </si>
  <si>
    <t>Элькар 300мг капли 25мл</t>
  </si>
  <si>
    <t>Элькар амп. 100мг/мл 5мл №10</t>
  </si>
  <si>
    <t>Эмистоп р-р д/ин 2мг/мл 4мл №5</t>
  </si>
  <si>
    <t>Эмкор 10 таб. 10мг №30</t>
  </si>
  <si>
    <t>Эмкор 2,5 таб. 2,5мг №30</t>
  </si>
  <si>
    <t>Эмокси-Оптик кап. глазн. 1% 5мл</t>
  </si>
  <si>
    <t>Эмопрокс гл. капли 1% 5мл №1</t>
  </si>
  <si>
    <t>Эмотроп глазной капли 1% 5мл</t>
  </si>
  <si>
    <t>Эналозид таб. 10мг/12,5мг №20</t>
  </si>
  <si>
    <t>Эналозид таб. 10мг/25мг №20</t>
  </si>
  <si>
    <t>Энам таб. 10мг №30</t>
  </si>
  <si>
    <t>Энам таб. 2,5мг №30</t>
  </si>
  <si>
    <t>Энам таб. 5мг №30</t>
  </si>
  <si>
    <t>Энап 10мг №20 КРКА</t>
  </si>
  <si>
    <t>Энап 2,5мг №20</t>
  </si>
  <si>
    <t>Энап 20мг №20</t>
  </si>
  <si>
    <t>Энап 5мг №20 КРКА</t>
  </si>
  <si>
    <t>Энап HL 10мг/12,5мг №20</t>
  </si>
  <si>
    <t>Энап HL 20мг/12,5мг №20</t>
  </si>
  <si>
    <t>Энап-Н 10мг/25мг №20</t>
  </si>
  <si>
    <t>Энгивир (Энтакавир) 0,5мг таб №30</t>
  </si>
  <si>
    <t>Энзофен вагин. капс.1000 мг №2</t>
  </si>
  <si>
    <t>Эноксапарин  0.6мл. 6000  №1 (Enclex)</t>
  </si>
  <si>
    <t>Эноксапарин 40мг/0,4мл №1(Enclex)</t>
  </si>
  <si>
    <t>Эноксапарин Энорин-4000 4мл №2</t>
  </si>
  <si>
    <t>Эном 5мг таб №20 МР МР</t>
  </si>
  <si>
    <t>Эноп-Н 10мг/25мг таб №20 МР МР</t>
  </si>
  <si>
    <t>Энтерожермина сусп. 5мл №10!!!</t>
  </si>
  <si>
    <t>Энтерол пор. 250мг №10</t>
  </si>
  <si>
    <t>Энтеросгель 22,5г№10 саше</t>
  </si>
  <si>
    <t>Энтобан капс. №20</t>
  </si>
  <si>
    <t>Энтобан сироп 90мл</t>
  </si>
  <si>
    <t>Эпцин р-р.инф42мг/мл.100мл№1 L-аргинин</t>
  </si>
  <si>
    <t>Эрбинол крем 1% 20мг №1</t>
  </si>
  <si>
    <t>Эрбинол спрей 1% 20мл №1</t>
  </si>
  <si>
    <t>Эрбинол таб 250мг №14</t>
  </si>
  <si>
    <t>Эргокальциферол-LIK масляный р-р 0,125% по 10мл</t>
  </si>
  <si>
    <t>Эргокальциферол-LIK спиртовый р-р 0,5% по 10мл</t>
  </si>
  <si>
    <t>Эргоферон таб. №20</t>
  </si>
  <si>
    <t>Эрексил таб 100мг №4</t>
  </si>
  <si>
    <t>Эремекс таб №10</t>
  </si>
  <si>
    <t>Эринит таб №50 Дента</t>
  </si>
  <si>
    <t>Эринит таб №50 Русс</t>
  </si>
  <si>
    <t>Эритрамицин мазь 1% 10г Дента</t>
  </si>
  <si>
    <t>Эритрамицин таб 100мг №10 Дента</t>
  </si>
  <si>
    <t>Эритромицин  мазь гл 10000ЕД 10г Медифарко</t>
  </si>
  <si>
    <t>Эриус таб. 5мг №10!!!</t>
  </si>
  <si>
    <t>Эсзол таб 100мг №10</t>
  </si>
  <si>
    <t>Эсинсал  Н амп 5мл №5 (Эссенциале) МР МР МР</t>
  </si>
  <si>
    <t>Эскузан капли д/внутр.прим. 20мл</t>
  </si>
  <si>
    <t>Эспумизан капс 40мг №25</t>
  </si>
  <si>
    <t>Эссенциал капс SP №30 Spring pharm</t>
  </si>
  <si>
    <t>Эссенциале-Н.Форте капс.№30</t>
  </si>
  <si>
    <t>Эссенциале-Н.Форте капс.№90</t>
  </si>
  <si>
    <t>Эссенциальные  250мг/мл 5мл №5 Русс</t>
  </si>
  <si>
    <t>Эталтис р-р д/ин. 3мл №10</t>
  </si>
  <si>
    <t>Этацид назал. Спрей 50мкг/доз 18г (флакон) №1</t>
  </si>
  <si>
    <t>Этодилакс таб №14 Нобел</t>
  </si>
  <si>
    <t>Этодин Форте таб №14 №14</t>
  </si>
  <si>
    <t>Этодин Форте таб №7</t>
  </si>
  <si>
    <t>Этоксиб таб. 60мг №14</t>
  </si>
  <si>
    <t>Этоксиб таб. 90мг №14</t>
  </si>
  <si>
    <t>Эутирокс таб.100мкг №100</t>
  </si>
  <si>
    <t>Эутирокс таб.125мкг №100</t>
  </si>
  <si>
    <t>Эутирокс таб.150мкг №100</t>
  </si>
  <si>
    <t>Эутирокс таб.50мкг №100</t>
  </si>
  <si>
    <t>Эффект сип пор с лимоном №10</t>
  </si>
  <si>
    <t>Юниэнзим с МПС таб. №20</t>
  </si>
  <si>
    <t>Ян-Бур капс №30 (Топинабур курук экс-т 0,250г</t>
  </si>
  <si>
    <t>Ярина Плюс таб. №28</t>
  </si>
  <si>
    <t xml:space="preserve">                                               Прайс Лист   01.12.2022         Режим работы: с 8:00 до 18:00 </t>
  </si>
  <si>
    <t>Аквадетрим капли 10мл Полша!!</t>
  </si>
  <si>
    <t>Амоксиклав  156.25мг/5л. 100мл. Лек Нагрузка бор</t>
  </si>
  <si>
    <t>Ампициллин 250мг капс №10 Ремедий</t>
  </si>
  <si>
    <t>Ампициллин нат соль 0,5г Русс!!!</t>
  </si>
  <si>
    <t>Артоксан таб. 20мг №10</t>
  </si>
  <si>
    <t>Аскарбиновая к-та 5% 2мл №5  Дента!!!</t>
  </si>
  <si>
    <t>Гептрал пор. лиоф. д/приг. р-ра 500мг №5!</t>
  </si>
  <si>
    <t>Гидрокортизон крем нар 1% 10 гр МедипХарко</t>
  </si>
  <si>
    <t>Глюкоза р-р 5% 200мл Радикс</t>
  </si>
  <si>
    <t>Дексаметазон-Аджио амп.4мг/мл.1мл№25!!!</t>
  </si>
  <si>
    <t>Диакарб таб. 250мг №30!!</t>
  </si>
  <si>
    <t>Диклофенак супп. рект. 100мг №10 Русс</t>
  </si>
  <si>
    <t>Зевритин Нео р-р для питья 50мл</t>
  </si>
  <si>
    <t>Калмазин таб взрослх №30</t>
  </si>
  <si>
    <t>Калмазин таб для детей №30</t>
  </si>
  <si>
    <t>Кальция хлорид амп.10% 10мл №10 Русс</t>
  </si>
  <si>
    <t>Клексан 4000 0,4мл №1</t>
  </si>
  <si>
    <t>Лименда ваг  с/в 750мг №7</t>
  </si>
  <si>
    <t>Масло Шоф SHOF baby  50мл</t>
  </si>
  <si>
    <t>Меновазан мазь 40 г Русс</t>
  </si>
  <si>
    <t>Микро Баланс саше Беби №10</t>
  </si>
  <si>
    <t>Нафтизин капли 0,1% 5мл Дента</t>
  </si>
  <si>
    <t>Нош-Бра  р-р д/ин 2% 2мл №10 Брынцалов-А,Россия</t>
  </si>
  <si>
    <t>Памперс 3 для ВЗР  "М" №30</t>
  </si>
  <si>
    <t>Памперс 4 для ВЗР  "L" №30</t>
  </si>
  <si>
    <t>Презервативы Pleasurex №3 классик с аром. яблока</t>
  </si>
  <si>
    <t>Прогестерон амп.2.5% в масле.1мл№10 Биофарма</t>
  </si>
  <si>
    <t>Сиримол сироп 200мл</t>
  </si>
  <si>
    <t>СК Простамед таб.жев. №120  01,23</t>
  </si>
  <si>
    <t>Таллитон таб. 25мг №28</t>
  </si>
  <si>
    <t>Фитолизин паст 100гр Полша</t>
  </si>
  <si>
    <t>Фурациллин таб. 0,02г №10 Ирбитский ХФЗ</t>
  </si>
  <si>
    <t>Цефраз  таб. 200мг №10</t>
  </si>
  <si>
    <t>Энтерожермина сусп. 2м/5мл  №10!!!</t>
  </si>
  <si>
    <t>Эспиро таб 25мг №10</t>
  </si>
  <si>
    <t>Эспиро таб. 50мг №10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</si>
</sst>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6">
    <font>
      <sz val="11"/>
      <color rgb="FF000000"/>
      <name val="Calibri"/>
    </font>
    <font>
      <i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1"/>
      <color theme="0"/>
      <name val="Calibri"/>
      <family val="2"/>
      <charset val="204"/>
    </font>
    <font>
      <sz val="12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0"/>
      <name val="Arial"/>
      <family val="2"/>
      <charset val="204"/>
    </font>
    <font>
      <b/>
      <sz val="11"/>
      <color theme="0"/>
      <name val="Arial"/>
      <family val="2"/>
      <charset val="204"/>
    </font>
    <font>
      <b/>
      <i/>
      <sz val="14"/>
      <color theme="3" tint="-0.249977111117893"/>
      <name val="Calibri"/>
      <family val="2"/>
      <charset val="204"/>
    </font>
    <font>
      <b/>
      <i/>
      <sz val="12"/>
      <color theme="3" tint="-0.249977111117893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i/>
      <u/>
      <sz val="14"/>
      <color theme="3" tint="-0.24997711111789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3" tint="-0.249977111117893"/>
        <bgColor rgb="FFBFBFBF"/>
      </patternFill>
    </fill>
    <fill>
      <patternFill patternType="solid">
        <fgColor theme="3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3" fontId="5" fillId="0" borderId="5" xfId="0" applyNumberFormat="1" applyFont="1" applyBorder="1" applyAlignment="1">
      <alignment horizontal="center" vertical="center"/>
    </xf>
    <xf numFmtId="3" fontId="0" fillId="0" borderId="0" xfId="0" applyNumberFormat="1" applyFont="1" applyAlignment="1"/>
    <xf numFmtId="164" fontId="4" fillId="0" borderId="5" xfId="0" applyNumberFormat="1" applyFont="1" applyBorder="1" applyAlignment="1">
      <alignment horizontal="center"/>
    </xf>
    <xf numFmtId="0" fontId="6" fillId="0" borderId="0" xfId="0" applyFont="1" applyAlignment="1"/>
    <xf numFmtId="164" fontId="8" fillId="0" borderId="5" xfId="0" applyNumberFormat="1" applyFont="1" applyBorder="1" applyAlignment="1">
      <alignment horizontal="center"/>
    </xf>
    <xf numFmtId="0" fontId="9" fillId="0" borderId="5" xfId="0" applyFont="1" applyBorder="1"/>
    <xf numFmtId="0" fontId="0" fillId="0" borderId="5" xfId="0" applyFont="1" applyBorder="1" applyAlignment="1">
      <alignment horizontal="center"/>
    </xf>
    <xf numFmtId="0" fontId="0" fillId="0" borderId="5" xfId="0" applyFont="1" applyBorder="1" applyAlignment="1"/>
    <xf numFmtId="0" fontId="0" fillId="0" borderId="0" xfId="0" applyFont="1" applyAlignment="1"/>
    <xf numFmtId="0" fontId="10" fillId="4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3" fontId="0" fillId="0" borderId="5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0" fillId="0" borderId="11" xfId="0" applyFont="1" applyBorder="1" applyAlignment="1"/>
    <xf numFmtId="3" fontId="0" fillId="0" borderId="1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/>
    <xf numFmtId="0" fontId="11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14" fontId="12" fillId="2" borderId="8" xfId="0" applyNumberFormat="1" applyFont="1" applyFill="1" applyBorder="1" applyAlignment="1">
      <alignment horizontal="center" vertical="center"/>
    </xf>
    <xf numFmtId="14" fontId="12" fillId="2" borderId="9" xfId="0" applyNumberFormat="1" applyFont="1" applyFill="1" applyBorder="1" applyAlignment="1">
      <alignment horizontal="center" vertical="center"/>
    </xf>
    <xf numFmtId="14" fontId="15" fillId="2" borderId="8" xfId="1" applyNumberFormat="1" applyFont="1" applyFill="1" applyBorder="1" applyAlignment="1" applyProtection="1">
      <alignment horizontal="center" vertical="center"/>
    </xf>
    <xf numFmtId="0" fontId="15" fillId="0" borderId="10" xfId="0" applyFont="1" applyBorder="1" applyAlignment="1"/>
    <xf numFmtId="0" fontId="15" fillId="0" borderId="9" xfId="0" applyFont="1" applyBorder="1" applyAlignment="1"/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2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477375" cy="2257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123825</xdr:colOff>
      <xdr:row>0</xdr:row>
      <xdr:rowOff>85724</xdr:rowOff>
    </xdr:from>
    <xdr:ext cx="2581276" cy="1524001"/>
    <xdr:sp macro="" textlink="">
      <xdr:nvSpPr>
        <xdr:cNvPr id="2" name="Прямоугольник 1"/>
        <xdr:cNvSpPr/>
      </xdr:nvSpPr>
      <xdr:spPr>
        <a:xfrm>
          <a:off x="5467350" y="85724"/>
          <a:ext cx="2581276" cy="1524001"/>
        </a:xfrm>
        <a:prstGeom prst="rect">
          <a:avLst/>
        </a:prstGeom>
        <a:solidFill>
          <a:schemeClr val="lt1"/>
        </a:solidFill>
        <a:ln w="25400" cap="flat" cmpd="sng" algn="ctr">
          <a:solidFill>
            <a:schemeClr val="bg1"/>
          </a:solidFill>
          <a:prstDash val="solid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lvl="0" algn="l"/>
          <a:endParaRPr lang="ru-RU" sz="1300" b="1" cap="none" spc="0">
            <a:ln>
              <a:noFill/>
            </a:ln>
            <a:solidFill>
              <a:schemeClr val="tx1"/>
            </a:solidFill>
            <a:effectLst/>
            <a:latin typeface="+mj-lt"/>
          </a:endParaRPr>
        </a:p>
      </xdr:txBody>
    </xdr:sp>
    <xdr:clientData fLocksWithSheet="0"/>
  </xdr:oneCellAnchor>
  <xdr:oneCellAnchor>
    <xdr:from>
      <xdr:col>0</xdr:col>
      <xdr:colOff>19050</xdr:colOff>
      <xdr:row>0</xdr:row>
      <xdr:rowOff>276225</xdr:rowOff>
    </xdr:from>
    <xdr:ext cx="3371850" cy="1533525"/>
    <xdr:sp macro="" textlink="">
      <xdr:nvSpPr>
        <xdr:cNvPr id="3" name="Прямоугольник 2"/>
        <xdr:cNvSpPr/>
      </xdr:nvSpPr>
      <xdr:spPr>
        <a:xfrm>
          <a:off x="19050" y="190500"/>
          <a:ext cx="3371850" cy="153352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chemeClr val="bg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lvl="0" algn="ctr"/>
          <a:endParaRPr lang="ru-RU" sz="1300" b="1">
            <a:latin typeface="+mj-lt"/>
          </a:endParaRPr>
        </a:p>
      </xdr:txBody>
    </xdr:sp>
    <xdr:clientData fLocksWithSheet="0"/>
  </xdr:oneCellAnchor>
  <xdr:oneCellAnchor>
    <xdr:from>
      <xdr:col>1</xdr:col>
      <xdr:colOff>2219324</xdr:colOff>
      <xdr:row>0</xdr:row>
      <xdr:rowOff>85725</xdr:rowOff>
    </xdr:from>
    <xdr:ext cx="2209801" cy="1762126"/>
    <xdr:pic>
      <xdr:nvPicPr>
        <xdr:cNvPr id="4" name="image1.jpg"/>
        <xdr:cNvPicPr preferRelativeResize="0"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>
                  <a14:imgEffect>
                    <a14:sharpenSoften amount="50000"/>
                  </a14:imgEffect>
                </a14:imgLayer>
              </a14:imgProps>
            </a:ext>
          </a:extLst>
        </a:blip>
        <a:srcRect l="18479" t="23334" r="13768" b="22083"/>
        <a:stretch/>
      </xdr:blipFill>
      <xdr:spPr>
        <a:xfrm>
          <a:off x="3267074" y="85725"/>
          <a:ext cx="2209801" cy="176212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H3035"/>
  <sheetViews>
    <sheetView tabSelected="1" zoomScaleSheetLayoutView="100" workbookViewId="0">
      <selection activeCell="B5" sqref="B5:B6"/>
    </sheetView>
  </sheetViews>
  <sheetFormatPr defaultColWidth="14.42578125" defaultRowHeight="15" customHeight="1"/>
  <cols>
    <col min="1" max="1" width="7.28515625" style="7" customWidth="1"/>
    <col min="2" max="2" width="51.7109375" customWidth="1"/>
    <col min="3" max="3" width="12.5703125" style="14" bestFit="1" customWidth="1"/>
    <col min="4" max="4" width="12.140625" style="3" customWidth="1"/>
    <col min="5" max="5" width="12.5703125" style="5" bestFit="1" customWidth="1"/>
    <col min="6" max="6" width="15.42578125" style="5" customWidth="1"/>
    <col min="7" max="7" width="30.28515625" style="4" customWidth="1"/>
    <col min="8" max="8" width="9.140625" customWidth="1"/>
  </cols>
  <sheetData>
    <row r="1" spans="1:8" ht="45" customHeight="1">
      <c r="A1" s="22"/>
      <c r="B1" s="23"/>
      <c r="C1" s="23"/>
      <c r="D1" s="23"/>
      <c r="E1" s="23"/>
      <c r="F1" s="23"/>
      <c r="G1" s="24"/>
      <c r="H1" s="1"/>
    </row>
    <row r="2" spans="1:8" ht="131.25" customHeight="1">
      <c r="A2" s="23"/>
      <c r="B2" s="23"/>
      <c r="C2" s="23"/>
      <c r="D2" s="23"/>
      <c r="E2" s="23"/>
      <c r="F2" s="23"/>
      <c r="G2" s="24"/>
      <c r="H2" s="1"/>
    </row>
    <row r="3" spans="1:8" s="3" customFormat="1" ht="23.25" customHeight="1">
      <c r="A3" s="28" t="s">
        <v>2454</v>
      </c>
      <c r="B3" s="28"/>
      <c r="C3" s="28"/>
      <c r="D3" s="28"/>
      <c r="E3" s="28"/>
      <c r="F3" s="28"/>
      <c r="G3" s="16" t="s">
        <v>2</v>
      </c>
      <c r="H3" s="1"/>
    </row>
    <row r="4" spans="1:8" ht="23.25" customHeight="1">
      <c r="A4" s="31" t="s">
        <v>9</v>
      </c>
      <c r="B4" s="32"/>
      <c r="C4" s="33"/>
      <c r="D4" s="34"/>
      <c r="E4" s="34"/>
      <c r="F4" s="35"/>
      <c r="G4" s="10">
        <f>SUM(G7:G1048576)</f>
        <v>0</v>
      </c>
      <c r="H4" s="1"/>
    </row>
    <row r="5" spans="1:8" s="9" customFormat="1" ht="26.25" customHeight="1">
      <c r="A5" s="25" t="s">
        <v>3</v>
      </c>
      <c r="B5" s="25" t="s">
        <v>4</v>
      </c>
      <c r="C5" s="15" t="s">
        <v>5</v>
      </c>
      <c r="D5" s="27" t="s">
        <v>6</v>
      </c>
      <c r="E5" s="15" t="s">
        <v>8</v>
      </c>
      <c r="F5" s="27" t="s">
        <v>6</v>
      </c>
      <c r="G5" s="29" t="s">
        <v>1</v>
      </c>
      <c r="H5" s="1"/>
    </row>
    <row r="6" spans="1:8" ht="15.75" customHeight="1">
      <c r="A6" s="26"/>
      <c r="B6" s="26"/>
      <c r="C6" s="15" t="s">
        <v>7</v>
      </c>
      <c r="D6" s="27"/>
      <c r="E6" s="15" t="s">
        <v>7</v>
      </c>
      <c r="F6" s="27"/>
      <c r="G6" s="30"/>
      <c r="H6" s="1"/>
    </row>
    <row r="7" spans="1:8" ht="15.75">
      <c r="A7" s="6">
        <v>1</v>
      </c>
      <c r="B7" s="11" t="s">
        <v>10</v>
      </c>
      <c r="C7" s="11">
        <f xml:space="preserve">     78500</f>
        <v>78500</v>
      </c>
      <c r="D7" s="11"/>
      <c r="E7" s="17"/>
      <c r="F7" s="12"/>
      <c r="G7" s="8">
        <f>C7*D7+E7*F7</f>
        <v>0</v>
      </c>
      <c r="H7" s="1"/>
    </row>
    <row r="8" spans="1:8" ht="15.75">
      <c r="A8" s="6">
        <v>2</v>
      </c>
      <c r="B8" s="11" t="s">
        <v>11</v>
      </c>
      <c r="C8" s="11">
        <f xml:space="preserve">     79250</f>
        <v>79250</v>
      </c>
      <c r="D8" s="11"/>
      <c r="E8" s="17"/>
      <c r="F8" s="12"/>
      <c r="G8" s="8">
        <f t="shared" ref="G8:G70" si="0">C8*D8+E8*F8</f>
        <v>0</v>
      </c>
      <c r="H8" s="1"/>
    </row>
    <row r="9" spans="1:8" ht="15.75">
      <c r="A9" s="6">
        <v>3</v>
      </c>
      <c r="B9" s="11" t="s">
        <v>12</v>
      </c>
      <c r="C9" s="11">
        <f xml:space="preserve">     76000</f>
        <v>76000</v>
      </c>
      <c r="D9" s="11"/>
      <c r="E9" s="17"/>
      <c r="F9" s="12"/>
      <c r="G9" s="8">
        <f t="shared" si="0"/>
        <v>0</v>
      </c>
      <c r="H9" s="1"/>
    </row>
    <row r="10" spans="1:8" ht="15.75">
      <c r="A10" s="6">
        <v>4</v>
      </c>
      <c r="B10" s="11" t="s">
        <v>13</v>
      </c>
      <c r="C10" s="11">
        <f xml:space="preserve">    150000</f>
        <v>150000</v>
      </c>
      <c r="D10" s="11"/>
      <c r="E10" s="17"/>
      <c r="F10" s="12"/>
      <c r="G10" s="8">
        <f t="shared" si="0"/>
        <v>0</v>
      </c>
      <c r="H10" s="1"/>
    </row>
    <row r="11" spans="1:8" ht="15.75">
      <c r="A11" s="6">
        <v>5</v>
      </c>
      <c r="B11" s="11" t="s">
        <v>13</v>
      </c>
      <c r="C11" s="11">
        <f xml:space="preserve">    150000</f>
        <v>150000</v>
      </c>
      <c r="D11" s="11"/>
      <c r="E11" s="17"/>
      <c r="F11" s="12"/>
      <c r="G11" s="8">
        <f t="shared" si="0"/>
        <v>0</v>
      </c>
      <c r="H11" s="1"/>
    </row>
    <row r="12" spans="1:8" ht="15.75">
      <c r="A12" s="6">
        <v>6</v>
      </c>
      <c r="B12" s="11" t="s">
        <v>14</v>
      </c>
      <c r="C12" s="11">
        <f xml:space="preserve">     22550</f>
        <v>22550</v>
      </c>
      <c r="D12" s="11"/>
      <c r="E12" s="17"/>
      <c r="F12" s="12"/>
      <c r="G12" s="8">
        <f t="shared" si="0"/>
        <v>0</v>
      </c>
      <c r="H12" s="1"/>
    </row>
    <row r="13" spans="1:8" ht="15.75">
      <c r="A13" s="6">
        <v>7</v>
      </c>
      <c r="B13" s="11" t="s">
        <v>15</v>
      </c>
      <c r="C13" s="11">
        <f xml:space="preserve">     18800</f>
        <v>18800</v>
      </c>
      <c r="D13" s="11"/>
      <c r="E13" s="17"/>
      <c r="F13" s="12"/>
      <c r="G13" s="8">
        <f t="shared" si="0"/>
        <v>0</v>
      </c>
      <c r="H13" s="1"/>
    </row>
    <row r="14" spans="1:8" ht="15.75">
      <c r="A14" s="6">
        <v>8</v>
      </c>
      <c r="B14" s="11" t="s">
        <v>16</v>
      </c>
      <c r="C14" s="11">
        <f xml:space="preserve">     20100</f>
        <v>20100</v>
      </c>
      <c r="D14" s="11"/>
      <c r="E14" s="17"/>
      <c r="F14" s="12"/>
      <c r="G14" s="8">
        <f t="shared" si="0"/>
        <v>0</v>
      </c>
      <c r="H14" s="1"/>
    </row>
    <row r="15" spans="1:8" ht="15.75">
      <c r="A15" s="6">
        <v>9</v>
      </c>
      <c r="B15" s="11" t="s">
        <v>17</v>
      </c>
      <c r="C15" s="11">
        <f xml:space="preserve">     13700</f>
        <v>13700</v>
      </c>
      <c r="D15" s="11"/>
      <c r="E15" s="17"/>
      <c r="F15" s="12"/>
      <c r="G15" s="8">
        <f t="shared" si="0"/>
        <v>0</v>
      </c>
      <c r="H15" s="1"/>
    </row>
    <row r="16" spans="1:8" ht="15.75">
      <c r="A16" s="6">
        <v>10</v>
      </c>
      <c r="B16" s="11" t="s">
        <v>18</v>
      </c>
      <c r="C16" s="11">
        <f xml:space="preserve">     34300</f>
        <v>34300</v>
      </c>
      <c r="D16" s="11"/>
      <c r="E16" s="17"/>
      <c r="F16" s="12"/>
      <c r="G16" s="8">
        <f t="shared" si="0"/>
        <v>0</v>
      </c>
      <c r="H16" s="1"/>
    </row>
    <row r="17" spans="1:8" ht="15.75">
      <c r="A17" s="6">
        <v>11</v>
      </c>
      <c r="B17" s="11" t="s">
        <v>19</v>
      </c>
      <c r="C17" s="11">
        <f xml:space="preserve">     22700</f>
        <v>22700</v>
      </c>
      <c r="D17" s="11"/>
      <c r="E17" s="17"/>
      <c r="F17" s="12"/>
      <c r="G17" s="8">
        <f t="shared" si="0"/>
        <v>0</v>
      </c>
      <c r="H17" s="1"/>
    </row>
    <row r="18" spans="1:8" ht="15.75">
      <c r="A18" s="6">
        <v>12</v>
      </c>
      <c r="B18" s="11" t="s">
        <v>20</v>
      </c>
      <c r="C18" s="11">
        <f xml:space="preserve">     62200</f>
        <v>62200</v>
      </c>
      <c r="D18" s="11"/>
      <c r="E18" s="17"/>
      <c r="F18" s="12"/>
      <c r="G18" s="8">
        <f t="shared" si="0"/>
        <v>0</v>
      </c>
      <c r="H18" s="1"/>
    </row>
    <row r="19" spans="1:8" ht="15.75">
      <c r="A19" s="6">
        <v>13</v>
      </c>
      <c r="B19" s="11" t="s">
        <v>21</v>
      </c>
      <c r="C19" s="11">
        <f xml:space="preserve">     86600</f>
        <v>86600</v>
      </c>
      <c r="D19" s="11"/>
      <c r="E19" s="17"/>
      <c r="F19" s="12"/>
      <c r="G19" s="8">
        <f t="shared" si="0"/>
        <v>0</v>
      </c>
      <c r="H19" s="1"/>
    </row>
    <row r="20" spans="1:8" ht="15.75">
      <c r="A20" s="6">
        <v>14</v>
      </c>
      <c r="B20" s="11" t="s">
        <v>22</v>
      </c>
      <c r="C20" s="11">
        <f xml:space="preserve">     96650</f>
        <v>96650</v>
      </c>
      <c r="D20" s="11"/>
      <c r="E20" s="17"/>
      <c r="F20" s="12"/>
      <c r="G20" s="8">
        <f t="shared" si="0"/>
        <v>0</v>
      </c>
      <c r="H20" s="1"/>
    </row>
    <row r="21" spans="1:8" ht="15.75" customHeight="1">
      <c r="A21" s="6">
        <v>15</v>
      </c>
      <c r="B21" s="11" t="s">
        <v>23</v>
      </c>
      <c r="C21" s="11">
        <f xml:space="preserve">     97400</f>
        <v>97400</v>
      </c>
      <c r="D21" s="11"/>
      <c r="E21" s="17"/>
      <c r="F21" s="12"/>
      <c r="G21" s="8">
        <f t="shared" si="0"/>
        <v>0</v>
      </c>
      <c r="H21" s="1"/>
    </row>
    <row r="22" spans="1:8" ht="15.75" customHeight="1">
      <c r="A22" s="6">
        <v>16</v>
      </c>
      <c r="B22" s="11" t="s">
        <v>24</v>
      </c>
      <c r="C22" s="11">
        <f xml:space="preserve">     34200</f>
        <v>34200</v>
      </c>
      <c r="D22" s="11"/>
      <c r="E22" s="17"/>
      <c r="F22" s="12"/>
      <c r="G22" s="8">
        <f t="shared" si="0"/>
        <v>0</v>
      </c>
      <c r="H22" s="1"/>
    </row>
    <row r="23" spans="1:8" ht="15.75" customHeight="1">
      <c r="A23" s="6">
        <v>17</v>
      </c>
      <c r="B23" s="11" t="s">
        <v>25</v>
      </c>
      <c r="C23" s="11">
        <f xml:space="preserve">      7850</f>
        <v>7850</v>
      </c>
      <c r="D23" s="11"/>
      <c r="E23" s="17"/>
      <c r="F23" s="12"/>
      <c r="G23" s="8">
        <f t="shared" si="0"/>
        <v>0</v>
      </c>
      <c r="H23" s="1"/>
    </row>
    <row r="24" spans="1:8" ht="15.75" customHeight="1">
      <c r="A24" s="6">
        <v>18</v>
      </c>
      <c r="B24" s="11" t="s">
        <v>26</v>
      </c>
      <c r="C24" s="11">
        <f xml:space="preserve">     16400</f>
        <v>16400</v>
      </c>
      <c r="D24" s="11"/>
      <c r="E24" s="17"/>
      <c r="F24" s="12"/>
      <c r="G24" s="8">
        <f t="shared" si="0"/>
        <v>0</v>
      </c>
      <c r="H24" s="1"/>
    </row>
    <row r="25" spans="1:8" ht="15.75" customHeight="1">
      <c r="A25" s="6">
        <v>19</v>
      </c>
      <c r="B25" s="11" t="s">
        <v>27</v>
      </c>
      <c r="C25" s="11">
        <f xml:space="preserve">     50100</f>
        <v>50100</v>
      </c>
      <c r="D25" s="11"/>
      <c r="E25" s="17"/>
      <c r="F25" s="12"/>
      <c r="G25" s="8">
        <f t="shared" si="0"/>
        <v>0</v>
      </c>
      <c r="H25" s="1"/>
    </row>
    <row r="26" spans="1:8" ht="15.75" customHeight="1">
      <c r="A26" s="6">
        <v>20</v>
      </c>
      <c r="B26" s="11" t="s">
        <v>28</v>
      </c>
      <c r="C26" s="11">
        <f xml:space="preserve">     30850</f>
        <v>30850</v>
      </c>
      <c r="D26" s="11"/>
      <c r="E26" s="17"/>
      <c r="F26" s="12"/>
      <c r="G26" s="8">
        <f t="shared" si="0"/>
        <v>0</v>
      </c>
      <c r="H26" s="1"/>
    </row>
    <row r="27" spans="1:8" ht="15.75" customHeight="1">
      <c r="A27" s="6">
        <v>21</v>
      </c>
      <c r="B27" s="11" t="s">
        <v>29</v>
      </c>
      <c r="C27" s="11">
        <f xml:space="preserve">     13250</f>
        <v>13250</v>
      </c>
      <c r="D27" s="11"/>
      <c r="E27" s="17"/>
      <c r="F27" s="12"/>
      <c r="G27" s="8">
        <f t="shared" si="0"/>
        <v>0</v>
      </c>
      <c r="H27" s="1"/>
    </row>
    <row r="28" spans="1:8" ht="15.75" customHeight="1">
      <c r="A28" s="6">
        <v>22</v>
      </c>
      <c r="B28" s="11" t="s">
        <v>30</v>
      </c>
      <c r="C28" s="11">
        <f xml:space="preserve">     85300</f>
        <v>85300</v>
      </c>
      <c r="D28" s="11"/>
      <c r="E28" s="17"/>
      <c r="F28" s="12"/>
      <c r="G28" s="8">
        <f t="shared" si="0"/>
        <v>0</v>
      </c>
      <c r="H28" s="1"/>
    </row>
    <row r="29" spans="1:8" ht="15.75" customHeight="1">
      <c r="A29" s="6">
        <v>23</v>
      </c>
      <c r="B29" s="11" t="s">
        <v>30</v>
      </c>
      <c r="C29" s="11">
        <f xml:space="preserve">     85300</f>
        <v>85300</v>
      </c>
      <c r="D29" s="11"/>
      <c r="E29" s="17"/>
      <c r="F29" s="12"/>
      <c r="G29" s="8">
        <f t="shared" si="0"/>
        <v>0</v>
      </c>
      <c r="H29" s="1"/>
    </row>
    <row r="30" spans="1:8" ht="15.75" customHeight="1">
      <c r="A30" s="6">
        <v>24</v>
      </c>
      <c r="B30" s="11" t="s">
        <v>31</v>
      </c>
      <c r="C30" s="11">
        <f xml:space="preserve">     19300</f>
        <v>19300</v>
      </c>
      <c r="D30" s="11"/>
      <c r="E30" s="17"/>
      <c r="F30" s="12"/>
      <c r="G30" s="8">
        <f t="shared" si="0"/>
        <v>0</v>
      </c>
      <c r="H30" s="1"/>
    </row>
    <row r="31" spans="1:8" ht="15.75" customHeight="1">
      <c r="A31" s="6">
        <v>25</v>
      </c>
      <c r="B31" s="11" t="s">
        <v>32</v>
      </c>
      <c r="C31" s="11">
        <f xml:space="preserve">     18700</f>
        <v>18700</v>
      </c>
      <c r="D31" s="11"/>
      <c r="E31" s="17"/>
      <c r="F31" s="12"/>
      <c r="G31" s="8">
        <f t="shared" si="0"/>
        <v>0</v>
      </c>
      <c r="H31" s="1"/>
    </row>
    <row r="32" spans="1:8" ht="15.75" customHeight="1">
      <c r="A32" s="6">
        <v>26</v>
      </c>
      <c r="B32" s="11" t="s">
        <v>33</v>
      </c>
      <c r="C32" s="11">
        <f xml:space="preserve">     31000</f>
        <v>31000</v>
      </c>
      <c r="D32" s="11"/>
      <c r="E32" s="17"/>
      <c r="F32" s="12"/>
      <c r="G32" s="8">
        <f t="shared" si="0"/>
        <v>0</v>
      </c>
      <c r="H32" s="1"/>
    </row>
    <row r="33" spans="1:8" ht="15.75" customHeight="1">
      <c r="A33" s="6">
        <v>27</v>
      </c>
      <c r="B33" s="11" t="s">
        <v>34</v>
      </c>
      <c r="C33" s="11">
        <f xml:space="preserve">     28000</f>
        <v>28000</v>
      </c>
      <c r="D33" s="11"/>
      <c r="E33" s="17"/>
      <c r="F33" s="12"/>
      <c r="G33" s="8">
        <f t="shared" si="0"/>
        <v>0</v>
      </c>
      <c r="H33" s="1"/>
    </row>
    <row r="34" spans="1:8" ht="15.75" customHeight="1">
      <c r="A34" s="6">
        <v>28</v>
      </c>
      <c r="B34" s="11" t="s">
        <v>35</v>
      </c>
      <c r="C34" s="11">
        <f xml:space="preserve">     43400</f>
        <v>43400</v>
      </c>
      <c r="D34" s="11"/>
      <c r="E34" s="17"/>
      <c r="F34" s="12"/>
      <c r="G34" s="8">
        <f t="shared" si="0"/>
        <v>0</v>
      </c>
      <c r="H34" s="1"/>
    </row>
    <row r="35" spans="1:8" ht="15.75" customHeight="1">
      <c r="A35" s="6">
        <v>29</v>
      </c>
      <c r="B35" s="11" t="s">
        <v>36</v>
      </c>
      <c r="C35" s="11">
        <f xml:space="preserve">     44650</f>
        <v>44650</v>
      </c>
      <c r="D35" s="11"/>
      <c r="E35" s="17"/>
      <c r="F35" s="12"/>
      <c r="G35" s="8">
        <f t="shared" si="0"/>
        <v>0</v>
      </c>
      <c r="H35" s="1"/>
    </row>
    <row r="36" spans="1:8" ht="15.75" customHeight="1">
      <c r="A36" s="6">
        <v>30</v>
      </c>
      <c r="B36" s="11" t="s">
        <v>37</v>
      </c>
      <c r="C36" s="11">
        <f xml:space="preserve">     37650</f>
        <v>37650</v>
      </c>
      <c r="D36" s="11"/>
      <c r="E36" s="17"/>
      <c r="F36" s="12"/>
      <c r="G36" s="8">
        <f t="shared" si="0"/>
        <v>0</v>
      </c>
      <c r="H36" s="1"/>
    </row>
    <row r="37" spans="1:8" ht="15.75" customHeight="1">
      <c r="A37" s="6">
        <v>31</v>
      </c>
      <c r="B37" s="11" t="s">
        <v>38</v>
      </c>
      <c r="C37" s="11">
        <f xml:space="preserve">      7750</f>
        <v>7750</v>
      </c>
      <c r="D37" s="11"/>
      <c r="E37" s="17"/>
      <c r="F37" s="12"/>
      <c r="G37" s="8">
        <f t="shared" si="0"/>
        <v>0</v>
      </c>
      <c r="H37" s="1"/>
    </row>
    <row r="38" spans="1:8" ht="15.75" customHeight="1">
      <c r="A38" s="6">
        <v>32</v>
      </c>
      <c r="B38" s="11" t="s">
        <v>39</v>
      </c>
      <c r="C38" s="11">
        <f xml:space="preserve">      8300</f>
        <v>8300</v>
      </c>
      <c r="D38" s="11"/>
      <c r="E38" s="17"/>
      <c r="F38" s="12"/>
      <c r="G38" s="8">
        <f t="shared" si="0"/>
        <v>0</v>
      </c>
      <c r="H38" s="1"/>
    </row>
    <row r="39" spans="1:8" ht="15.75" customHeight="1">
      <c r="A39" s="6">
        <v>33</v>
      </c>
      <c r="B39" s="11" t="s">
        <v>40</v>
      </c>
      <c r="C39" s="11">
        <f xml:space="preserve">      8300</f>
        <v>8300</v>
      </c>
      <c r="D39" s="11"/>
      <c r="E39" s="17"/>
      <c r="F39" s="12"/>
      <c r="G39" s="8">
        <f t="shared" si="0"/>
        <v>0</v>
      </c>
      <c r="H39" s="1"/>
    </row>
    <row r="40" spans="1:8" ht="15.75" customHeight="1">
      <c r="A40" s="6">
        <v>34</v>
      </c>
      <c r="B40" s="11" t="s">
        <v>41</v>
      </c>
      <c r="C40" s="11">
        <f xml:space="preserve">     12600</f>
        <v>12600</v>
      </c>
      <c r="D40" s="11"/>
      <c r="E40" s="17"/>
      <c r="F40" s="12"/>
      <c r="G40" s="8">
        <f t="shared" si="0"/>
        <v>0</v>
      </c>
      <c r="H40" s="1"/>
    </row>
    <row r="41" spans="1:8" ht="15.75" customHeight="1">
      <c r="A41" s="6">
        <v>35</v>
      </c>
      <c r="B41" s="11" t="s">
        <v>42</v>
      </c>
      <c r="C41" s="11">
        <f xml:space="preserve">     24200</f>
        <v>24200</v>
      </c>
      <c r="D41" s="11"/>
      <c r="E41" s="17"/>
      <c r="F41" s="12"/>
      <c r="G41" s="8">
        <f t="shared" si="0"/>
        <v>0</v>
      </c>
      <c r="H41" s="1"/>
    </row>
    <row r="42" spans="1:8" ht="15.75" customHeight="1">
      <c r="A42" s="6">
        <v>36</v>
      </c>
      <c r="B42" s="11" t="s">
        <v>43</v>
      </c>
      <c r="C42" s="11">
        <f xml:space="preserve">      7250</f>
        <v>7250</v>
      </c>
      <c r="D42" s="11"/>
      <c r="E42" s="17"/>
      <c r="F42" s="12"/>
      <c r="G42" s="8">
        <f t="shared" si="0"/>
        <v>0</v>
      </c>
      <c r="H42" s="1"/>
    </row>
    <row r="43" spans="1:8" ht="15.75" customHeight="1">
      <c r="A43" s="6">
        <v>37</v>
      </c>
      <c r="B43" s="11" t="s">
        <v>44</v>
      </c>
      <c r="C43" s="11">
        <f xml:space="preserve">      5600</f>
        <v>5600</v>
      </c>
      <c r="D43" s="11"/>
      <c r="E43" s="17"/>
      <c r="F43" s="12"/>
      <c r="G43" s="8">
        <f t="shared" si="0"/>
        <v>0</v>
      </c>
      <c r="H43" s="1"/>
    </row>
    <row r="44" spans="1:8" ht="15.75" customHeight="1">
      <c r="A44" s="6">
        <v>38</v>
      </c>
      <c r="B44" s="11" t="s">
        <v>44</v>
      </c>
      <c r="C44" s="11">
        <f xml:space="preserve">      5600</f>
        <v>5600</v>
      </c>
      <c r="D44" s="11"/>
      <c r="E44" s="17"/>
      <c r="F44" s="12"/>
      <c r="G44" s="8">
        <f t="shared" si="0"/>
        <v>0</v>
      </c>
      <c r="H44" s="1"/>
    </row>
    <row r="45" spans="1:8" ht="15.75" customHeight="1">
      <c r="A45" s="6">
        <v>39</v>
      </c>
      <c r="B45" s="11" t="s">
        <v>45</v>
      </c>
      <c r="C45" s="11">
        <f xml:space="preserve">     11550</f>
        <v>11550</v>
      </c>
      <c r="D45" s="11"/>
      <c r="E45" s="17"/>
      <c r="F45" s="12"/>
      <c r="G45" s="8">
        <f t="shared" si="0"/>
        <v>0</v>
      </c>
      <c r="H45" s="1"/>
    </row>
    <row r="46" spans="1:8" ht="15.75" customHeight="1">
      <c r="A46" s="6">
        <v>40</v>
      </c>
      <c r="B46" s="11" t="s">
        <v>46</v>
      </c>
      <c r="C46" s="11">
        <f xml:space="preserve">      5600</f>
        <v>5600</v>
      </c>
      <c r="D46" s="11"/>
      <c r="E46" s="17"/>
      <c r="F46" s="12"/>
      <c r="G46" s="8">
        <f t="shared" si="0"/>
        <v>0</v>
      </c>
      <c r="H46" s="1"/>
    </row>
    <row r="47" spans="1:8" ht="15.75" customHeight="1">
      <c r="A47" s="6">
        <v>41</v>
      </c>
      <c r="B47" s="11" t="s">
        <v>47</v>
      </c>
      <c r="C47" s="11">
        <f xml:space="preserve">     11550</f>
        <v>11550</v>
      </c>
      <c r="D47" s="11"/>
      <c r="E47" s="17"/>
      <c r="F47" s="12"/>
      <c r="G47" s="8">
        <f t="shared" si="0"/>
        <v>0</v>
      </c>
      <c r="H47" s="1"/>
    </row>
    <row r="48" spans="1:8" ht="15.75" customHeight="1">
      <c r="A48" s="6">
        <v>42</v>
      </c>
      <c r="B48" s="11" t="s">
        <v>48</v>
      </c>
      <c r="C48" s="11">
        <f xml:space="preserve">     32550</f>
        <v>32550</v>
      </c>
      <c r="D48" s="11"/>
      <c r="E48" s="17"/>
      <c r="F48" s="12"/>
      <c r="G48" s="8">
        <f t="shared" si="0"/>
        <v>0</v>
      </c>
      <c r="H48" s="1"/>
    </row>
    <row r="49" spans="1:8" ht="15.75" customHeight="1">
      <c r="A49" s="6">
        <v>43</v>
      </c>
      <c r="B49" s="11" t="s">
        <v>49</v>
      </c>
      <c r="C49" s="11">
        <f xml:space="preserve">     21800</f>
        <v>21800</v>
      </c>
      <c r="D49" s="11"/>
      <c r="E49" s="17"/>
      <c r="F49" s="12"/>
      <c r="G49" s="8">
        <f t="shared" si="0"/>
        <v>0</v>
      </c>
      <c r="H49" s="1"/>
    </row>
    <row r="50" spans="1:8" ht="15.75" customHeight="1">
      <c r="A50" s="6">
        <v>44</v>
      </c>
      <c r="B50" s="11" t="s">
        <v>50</v>
      </c>
      <c r="C50" s="11">
        <f xml:space="preserve">     27200</f>
        <v>27200</v>
      </c>
      <c r="D50" s="11"/>
      <c r="E50" s="17"/>
      <c r="F50" s="12"/>
      <c r="G50" s="8">
        <f t="shared" si="0"/>
        <v>0</v>
      </c>
      <c r="H50" s="1"/>
    </row>
    <row r="51" spans="1:8" ht="15.75" customHeight="1">
      <c r="A51" s="6">
        <v>45</v>
      </c>
      <c r="B51" s="11" t="s">
        <v>51</v>
      </c>
      <c r="C51" s="11">
        <f xml:space="preserve">     40000</f>
        <v>40000</v>
      </c>
      <c r="D51" s="11"/>
      <c r="E51" s="17"/>
      <c r="F51" s="12"/>
      <c r="G51" s="8">
        <f t="shared" si="0"/>
        <v>0</v>
      </c>
      <c r="H51" s="1"/>
    </row>
    <row r="52" spans="1:8" ht="15.75" customHeight="1">
      <c r="A52" s="6">
        <v>46</v>
      </c>
      <c r="B52" s="11" t="s">
        <v>52</v>
      </c>
      <c r="C52" s="11">
        <f xml:space="preserve">     59850</f>
        <v>59850</v>
      </c>
      <c r="D52" s="11"/>
      <c r="E52" s="17"/>
      <c r="F52" s="12"/>
      <c r="G52" s="8">
        <f t="shared" si="0"/>
        <v>0</v>
      </c>
      <c r="H52" s="1"/>
    </row>
    <row r="53" spans="1:8" ht="15.75" customHeight="1">
      <c r="A53" s="6">
        <v>47</v>
      </c>
      <c r="B53" s="11" t="s">
        <v>2455</v>
      </c>
      <c r="C53" s="11">
        <f xml:space="preserve">     39850</f>
        <v>39850</v>
      </c>
      <c r="D53" s="11"/>
      <c r="E53" s="17"/>
      <c r="F53" s="12"/>
      <c r="G53" s="8">
        <f t="shared" si="0"/>
        <v>0</v>
      </c>
      <c r="H53" s="1"/>
    </row>
    <row r="54" spans="1:8" ht="15.75" customHeight="1">
      <c r="A54" s="6">
        <v>48</v>
      </c>
      <c r="B54" s="11" t="s">
        <v>53</v>
      </c>
      <c r="C54" s="11">
        <f xml:space="preserve">     16450</f>
        <v>16450</v>
      </c>
      <c r="D54" s="11"/>
      <c r="E54" s="17"/>
      <c r="F54" s="12"/>
      <c r="G54" s="8">
        <f t="shared" si="0"/>
        <v>0</v>
      </c>
      <c r="H54" s="1"/>
    </row>
    <row r="55" spans="1:8" ht="15.75" customHeight="1">
      <c r="A55" s="6">
        <v>49</v>
      </c>
      <c r="B55" s="11" t="s">
        <v>54</v>
      </c>
      <c r="C55" s="11">
        <f xml:space="preserve">     44750</f>
        <v>44750</v>
      </c>
      <c r="D55" s="11"/>
      <c r="E55" s="17"/>
      <c r="F55" s="12"/>
      <c r="G55" s="8">
        <f t="shared" si="0"/>
        <v>0</v>
      </c>
      <c r="H55" s="1"/>
    </row>
    <row r="56" spans="1:8" ht="15.75" customHeight="1">
      <c r="A56" s="6">
        <v>50</v>
      </c>
      <c r="B56" s="11" t="s">
        <v>55</v>
      </c>
      <c r="C56" s="11">
        <f xml:space="preserve">     71500</f>
        <v>71500</v>
      </c>
      <c r="D56" s="11"/>
      <c r="E56" s="17"/>
      <c r="F56" s="12"/>
      <c r="G56" s="8">
        <f t="shared" si="0"/>
        <v>0</v>
      </c>
      <c r="H56" s="1"/>
    </row>
    <row r="57" spans="1:8" ht="15.75" customHeight="1">
      <c r="A57" s="6">
        <v>51</v>
      </c>
      <c r="B57" s="11" t="s">
        <v>56</v>
      </c>
      <c r="C57" s="11">
        <f xml:space="preserve">     63000</f>
        <v>63000</v>
      </c>
      <c r="D57" s="11"/>
      <c r="E57" s="17"/>
      <c r="F57" s="12"/>
      <c r="G57" s="8">
        <f t="shared" si="0"/>
        <v>0</v>
      </c>
      <c r="H57" s="1"/>
    </row>
    <row r="58" spans="1:8" ht="15.75" customHeight="1">
      <c r="A58" s="6">
        <v>52</v>
      </c>
      <c r="B58" s="11" t="s">
        <v>57</v>
      </c>
      <c r="C58" s="11">
        <f xml:space="preserve">     84900</f>
        <v>84900</v>
      </c>
      <c r="D58" s="11"/>
      <c r="E58" s="17"/>
      <c r="F58" s="12"/>
      <c r="G58" s="8">
        <f t="shared" si="0"/>
        <v>0</v>
      </c>
      <c r="H58" s="1"/>
    </row>
    <row r="59" spans="1:8" ht="15.75" customHeight="1">
      <c r="A59" s="6">
        <v>53</v>
      </c>
      <c r="B59" s="11" t="s">
        <v>58</v>
      </c>
      <c r="C59" s="11">
        <f xml:space="preserve">     84950</f>
        <v>84950</v>
      </c>
      <c r="D59" s="11"/>
      <c r="E59" s="17"/>
      <c r="F59" s="12"/>
      <c r="G59" s="8">
        <f t="shared" si="0"/>
        <v>0</v>
      </c>
      <c r="H59" s="1"/>
    </row>
    <row r="60" spans="1:8" ht="15.75" customHeight="1">
      <c r="A60" s="6">
        <v>54</v>
      </c>
      <c r="B60" s="11" t="s">
        <v>59</v>
      </c>
      <c r="C60" s="11">
        <f xml:space="preserve">     56300</f>
        <v>56300</v>
      </c>
      <c r="D60" s="11"/>
      <c r="E60" s="17"/>
      <c r="F60" s="12"/>
      <c r="G60" s="8">
        <f t="shared" si="0"/>
        <v>0</v>
      </c>
      <c r="H60" s="1"/>
    </row>
    <row r="61" spans="1:8" ht="15.75" customHeight="1">
      <c r="A61" s="6">
        <v>55</v>
      </c>
      <c r="B61" s="11" t="s">
        <v>60</v>
      </c>
      <c r="C61" s="11">
        <f xml:space="preserve">     18000</f>
        <v>18000</v>
      </c>
      <c r="D61" s="11"/>
      <c r="E61" s="17"/>
      <c r="F61" s="12"/>
      <c r="G61" s="8">
        <f t="shared" si="0"/>
        <v>0</v>
      </c>
      <c r="H61" s="1"/>
    </row>
    <row r="62" spans="1:8" ht="15.75" customHeight="1">
      <c r="A62" s="6">
        <v>56</v>
      </c>
      <c r="B62" s="11" t="s">
        <v>61</v>
      </c>
      <c r="C62" s="11">
        <f xml:space="preserve">     22600</f>
        <v>22600</v>
      </c>
      <c r="D62" s="11"/>
      <c r="E62" s="17"/>
      <c r="F62" s="12"/>
      <c r="G62" s="8">
        <f t="shared" si="0"/>
        <v>0</v>
      </c>
      <c r="H62" s="1"/>
    </row>
    <row r="63" spans="1:8" ht="15.75" customHeight="1">
      <c r="A63" s="6">
        <v>57</v>
      </c>
      <c r="B63" s="11" t="s">
        <v>62</v>
      </c>
      <c r="C63" s="11">
        <f xml:space="preserve">     22900</f>
        <v>22900</v>
      </c>
      <c r="D63" s="11"/>
      <c r="E63" s="17"/>
      <c r="F63" s="12"/>
      <c r="G63" s="8">
        <f t="shared" si="0"/>
        <v>0</v>
      </c>
      <c r="H63" s="1"/>
    </row>
    <row r="64" spans="1:8" ht="15.75" customHeight="1">
      <c r="A64" s="6">
        <v>58</v>
      </c>
      <c r="B64" s="11" t="s">
        <v>63</v>
      </c>
      <c r="C64" s="11">
        <f xml:space="preserve">      7400</f>
        <v>7400</v>
      </c>
      <c r="D64" s="11"/>
      <c r="E64" s="17"/>
      <c r="F64" s="12"/>
      <c r="G64" s="8">
        <f t="shared" si="0"/>
        <v>0</v>
      </c>
      <c r="H64" s="1"/>
    </row>
    <row r="65" spans="1:8" ht="15.75" customHeight="1">
      <c r="A65" s="6">
        <v>59</v>
      </c>
      <c r="B65" s="11" t="s">
        <v>64</v>
      </c>
      <c r="C65" s="11">
        <f xml:space="preserve">    161200</f>
        <v>161200</v>
      </c>
      <c r="D65" s="11"/>
      <c r="E65" s="17"/>
      <c r="F65" s="12"/>
      <c r="G65" s="8">
        <f t="shared" si="0"/>
        <v>0</v>
      </c>
      <c r="H65" s="1"/>
    </row>
    <row r="66" spans="1:8" ht="15.75" customHeight="1">
      <c r="A66" s="6">
        <v>60</v>
      </c>
      <c r="B66" s="11" t="s">
        <v>65</v>
      </c>
      <c r="C66" s="11">
        <f xml:space="preserve">     35800</f>
        <v>35800</v>
      </c>
      <c r="D66" s="11"/>
      <c r="E66" s="17"/>
      <c r="F66" s="12"/>
      <c r="G66" s="8">
        <f t="shared" si="0"/>
        <v>0</v>
      </c>
      <c r="H66" s="1"/>
    </row>
    <row r="67" spans="1:8" ht="15.75" customHeight="1">
      <c r="A67" s="6">
        <v>61</v>
      </c>
      <c r="B67" s="11" t="s">
        <v>66</v>
      </c>
      <c r="C67" s="11">
        <f xml:space="preserve">     87650</f>
        <v>87650</v>
      </c>
      <c r="D67" s="11"/>
      <c r="E67" s="17"/>
      <c r="F67" s="12"/>
      <c r="G67" s="8">
        <f t="shared" si="0"/>
        <v>0</v>
      </c>
      <c r="H67" s="1"/>
    </row>
    <row r="68" spans="1:8" ht="15.75" customHeight="1">
      <c r="A68" s="6">
        <v>62</v>
      </c>
      <c r="B68" s="11" t="s">
        <v>67</v>
      </c>
      <c r="C68" s="11">
        <f xml:space="preserve">     43400</f>
        <v>43400</v>
      </c>
      <c r="D68" s="11"/>
      <c r="E68" s="17"/>
      <c r="F68" s="12"/>
      <c r="G68" s="8">
        <f t="shared" si="0"/>
        <v>0</v>
      </c>
      <c r="H68" s="1"/>
    </row>
    <row r="69" spans="1:8" ht="15.75" customHeight="1">
      <c r="A69" s="6">
        <v>63</v>
      </c>
      <c r="B69" s="11" t="s">
        <v>67</v>
      </c>
      <c r="C69" s="11">
        <f xml:space="preserve">     40050</f>
        <v>40050</v>
      </c>
      <c r="D69" s="11"/>
      <c r="E69" s="17"/>
      <c r="F69" s="12"/>
      <c r="G69" s="8">
        <f t="shared" si="0"/>
        <v>0</v>
      </c>
      <c r="H69" s="1"/>
    </row>
    <row r="70" spans="1:8" ht="15.75" customHeight="1">
      <c r="A70" s="6">
        <v>64</v>
      </c>
      <c r="B70" s="11" t="s">
        <v>68</v>
      </c>
      <c r="C70" s="11">
        <f xml:space="preserve">    154500</f>
        <v>154500</v>
      </c>
      <c r="D70" s="11"/>
      <c r="E70" s="17"/>
      <c r="F70" s="12"/>
      <c r="G70" s="8">
        <f t="shared" si="0"/>
        <v>0</v>
      </c>
      <c r="H70" s="1"/>
    </row>
    <row r="71" spans="1:8" ht="15.75" customHeight="1">
      <c r="A71" s="6">
        <v>65</v>
      </c>
      <c r="B71" s="11" t="s">
        <v>69</v>
      </c>
      <c r="C71" s="11">
        <f xml:space="preserve">     57500</f>
        <v>57500</v>
      </c>
      <c r="D71" s="11"/>
      <c r="E71" s="17"/>
      <c r="F71" s="12"/>
      <c r="G71" s="8">
        <f t="shared" ref="G71:G134" si="1">C71*D71+E71*F71</f>
        <v>0</v>
      </c>
      <c r="H71" s="1"/>
    </row>
    <row r="72" spans="1:8" ht="15.75" customHeight="1">
      <c r="A72" s="6">
        <v>66</v>
      </c>
      <c r="B72" s="11" t="s">
        <v>70</v>
      </c>
      <c r="C72" s="11">
        <f xml:space="preserve">     50300</f>
        <v>50300</v>
      </c>
      <c r="D72" s="11"/>
      <c r="E72" s="17"/>
      <c r="F72" s="12"/>
      <c r="G72" s="8">
        <f t="shared" si="1"/>
        <v>0</v>
      </c>
      <c r="H72" s="1"/>
    </row>
    <row r="73" spans="1:8" ht="15.75" customHeight="1">
      <c r="A73" s="6">
        <v>67</v>
      </c>
      <c r="B73" s="11" t="s">
        <v>71</v>
      </c>
      <c r="C73" s="11">
        <f xml:space="preserve">     48900</f>
        <v>48900</v>
      </c>
      <c r="D73" s="11"/>
      <c r="E73" s="17"/>
      <c r="F73" s="12"/>
      <c r="G73" s="8">
        <f t="shared" si="1"/>
        <v>0</v>
      </c>
      <c r="H73" s="1"/>
    </row>
    <row r="74" spans="1:8" ht="15.75" customHeight="1">
      <c r="A74" s="6">
        <v>68</v>
      </c>
      <c r="B74" s="11" t="s">
        <v>72</v>
      </c>
      <c r="C74" s="11">
        <f xml:space="preserve">     17800</f>
        <v>17800</v>
      </c>
      <c r="D74" s="11"/>
      <c r="E74" s="17"/>
      <c r="F74" s="12"/>
      <c r="G74" s="8">
        <f t="shared" si="1"/>
        <v>0</v>
      </c>
      <c r="H74" s="1"/>
    </row>
    <row r="75" spans="1:8" ht="15.75" customHeight="1">
      <c r="A75" s="6">
        <v>69</v>
      </c>
      <c r="B75" s="11" t="s">
        <v>73</v>
      </c>
      <c r="C75" s="11">
        <f xml:space="preserve">     32100</f>
        <v>32100</v>
      </c>
      <c r="D75" s="11"/>
      <c r="E75" s="17"/>
      <c r="F75" s="12"/>
      <c r="G75" s="8">
        <f t="shared" si="1"/>
        <v>0</v>
      </c>
      <c r="H75" s="1"/>
    </row>
    <row r="76" spans="1:8" ht="15.75" customHeight="1">
      <c r="A76" s="6">
        <v>70</v>
      </c>
      <c r="B76" s="11" t="s">
        <v>74</v>
      </c>
      <c r="C76" s="11">
        <f xml:space="preserve">     30250</f>
        <v>30250</v>
      </c>
      <c r="D76" s="11"/>
      <c r="E76" s="17"/>
      <c r="F76" s="12"/>
      <c r="G76" s="8">
        <f t="shared" si="1"/>
        <v>0</v>
      </c>
      <c r="H76" s="1"/>
    </row>
    <row r="77" spans="1:8" ht="15.75" customHeight="1">
      <c r="A77" s="6">
        <v>71</v>
      </c>
      <c r="B77" s="11" t="s">
        <v>75</v>
      </c>
      <c r="C77" s="11">
        <f xml:space="preserve">     50700</f>
        <v>50700</v>
      </c>
      <c r="D77" s="11"/>
      <c r="E77" s="17"/>
      <c r="F77" s="12"/>
      <c r="G77" s="8">
        <f t="shared" si="1"/>
        <v>0</v>
      </c>
      <c r="H77" s="1"/>
    </row>
    <row r="78" spans="1:8" ht="15.75" customHeight="1">
      <c r="A78" s="6">
        <v>72</v>
      </c>
      <c r="B78" s="11" t="s">
        <v>76</v>
      </c>
      <c r="C78" s="11">
        <f xml:space="preserve">     35500</f>
        <v>35500</v>
      </c>
      <c r="D78" s="11"/>
      <c r="E78" s="17"/>
      <c r="F78" s="12"/>
      <c r="G78" s="8">
        <f t="shared" si="1"/>
        <v>0</v>
      </c>
      <c r="H78" s="1"/>
    </row>
    <row r="79" spans="1:8" ht="15.75" customHeight="1">
      <c r="A79" s="6">
        <v>73</v>
      </c>
      <c r="B79" s="11" t="s">
        <v>77</v>
      </c>
      <c r="C79" s="11">
        <f xml:space="preserve">     19700</f>
        <v>19700</v>
      </c>
      <c r="D79" s="11"/>
      <c r="E79" s="17"/>
      <c r="F79" s="12"/>
      <c r="G79" s="8">
        <f t="shared" si="1"/>
        <v>0</v>
      </c>
      <c r="H79" s="1"/>
    </row>
    <row r="80" spans="1:8" ht="15.75" customHeight="1">
      <c r="A80" s="6">
        <v>74</v>
      </c>
      <c r="B80" s="11" t="s">
        <v>78</v>
      </c>
      <c r="C80" s="11">
        <f xml:space="preserve">     20750</f>
        <v>20750</v>
      </c>
      <c r="D80" s="11"/>
      <c r="E80" s="17"/>
      <c r="F80" s="12"/>
      <c r="G80" s="8">
        <f t="shared" si="1"/>
        <v>0</v>
      </c>
      <c r="H80" s="1"/>
    </row>
    <row r="81" spans="1:8" ht="15.75" customHeight="1">
      <c r="A81" s="6">
        <v>75</v>
      </c>
      <c r="B81" s="11" t="s">
        <v>79</v>
      </c>
      <c r="C81" s="11">
        <f xml:space="preserve">      2020</f>
        <v>2020</v>
      </c>
      <c r="D81" s="11"/>
      <c r="E81" s="17"/>
      <c r="F81" s="12"/>
      <c r="G81" s="8">
        <f t="shared" si="1"/>
        <v>0</v>
      </c>
      <c r="H81" s="1"/>
    </row>
    <row r="82" spans="1:8" ht="15.75" customHeight="1">
      <c r="A82" s="6">
        <v>76</v>
      </c>
      <c r="B82" s="11" t="s">
        <v>80</v>
      </c>
      <c r="C82" s="11">
        <f xml:space="preserve">     74400</f>
        <v>74400</v>
      </c>
      <c r="D82" s="11"/>
      <c r="E82" s="17"/>
      <c r="F82" s="12"/>
      <c r="G82" s="8">
        <f t="shared" si="1"/>
        <v>0</v>
      </c>
      <c r="H82" s="1"/>
    </row>
    <row r="83" spans="1:8" ht="15.75" customHeight="1">
      <c r="A83" s="6">
        <v>77</v>
      </c>
      <c r="B83" s="11" t="s">
        <v>81</v>
      </c>
      <c r="C83" s="11">
        <f xml:space="preserve">      5760</f>
        <v>5760</v>
      </c>
      <c r="D83" s="11"/>
      <c r="E83" s="17"/>
      <c r="F83" s="12"/>
      <c r="G83" s="8">
        <f t="shared" si="1"/>
        <v>0</v>
      </c>
      <c r="H83" s="1"/>
    </row>
    <row r="84" spans="1:8" ht="15.75" customHeight="1">
      <c r="A84" s="6">
        <v>78</v>
      </c>
      <c r="B84" s="11" t="s">
        <v>82</v>
      </c>
      <c r="C84" s="11">
        <f xml:space="preserve">     26400</f>
        <v>26400</v>
      </c>
      <c r="D84" s="11"/>
      <c r="E84" s="17"/>
      <c r="F84" s="12"/>
      <c r="G84" s="8">
        <f t="shared" si="1"/>
        <v>0</v>
      </c>
      <c r="H84" s="1"/>
    </row>
    <row r="85" spans="1:8" ht="15.75" customHeight="1">
      <c r="A85" s="6">
        <v>79</v>
      </c>
      <c r="B85" s="11" t="s">
        <v>83</v>
      </c>
      <c r="C85" s="11">
        <f xml:space="preserve">     29200</f>
        <v>29200</v>
      </c>
      <c r="D85" s="11"/>
      <c r="E85" s="17"/>
      <c r="F85" s="12"/>
      <c r="G85" s="8">
        <f t="shared" si="1"/>
        <v>0</v>
      </c>
      <c r="H85" s="1"/>
    </row>
    <row r="86" spans="1:8" ht="15.75" customHeight="1">
      <c r="A86" s="6">
        <v>80</v>
      </c>
      <c r="B86" s="11" t="s">
        <v>84</v>
      </c>
      <c r="C86" s="11">
        <f xml:space="preserve">     14000</f>
        <v>14000</v>
      </c>
      <c r="D86" s="11"/>
      <c r="E86" s="17"/>
      <c r="F86" s="12"/>
      <c r="G86" s="8">
        <f t="shared" si="1"/>
        <v>0</v>
      </c>
      <c r="H86" s="1"/>
    </row>
    <row r="87" spans="1:8" ht="15.75" customHeight="1">
      <c r="A87" s="6">
        <v>81</v>
      </c>
      <c r="B87" s="11" t="s">
        <v>85</v>
      </c>
      <c r="C87" s="11">
        <f xml:space="preserve">     14500</f>
        <v>14500</v>
      </c>
      <c r="D87" s="11"/>
      <c r="E87" s="17"/>
      <c r="F87" s="12"/>
      <c r="G87" s="8">
        <f t="shared" si="1"/>
        <v>0</v>
      </c>
      <c r="H87" s="1"/>
    </row>
    <row r="88" spans="1:8" ht="15.75" customHeight="1">
      <c r="A88" s="6">
        <v>82</v>
      </c>
      <c r="B88" s="11" t="s">
        <v>86</v>
      </c>
      <c r="C88" s="11">
        <f xml:space="preserve">      4550</f>
        <v>4550</v>
      </c>
      <c r="D88" s="11"/>
      <c r="E88" s="17"/>
      <c r="F88" s="12"/>
      <c r="G88" s="8">
        <f t="shared" si="1"/>
        <v>0</v>
      </c>
      <c r="H88" s="1"/>
    </row>
    <row r="89" spans="1:8" ht="15.75" customHeight="1">
      <c r="A89" s="6">
        <v>83</v>
      </c>
      <c r="B89" s="11" t="s">
        <v>87</v>
      </c>
      <c r="C89" s="11">
        <f xml:space="preserve">      5950</f>
        <v>5950</v>
      </c>
      <c r="D89" s="11"/>
      <c r="E89" s="17"/>
      <c r="F89" s="12"/>
      <c r="G89" s="8">
        <f t="shared" si="1"/>
        <v>0</v>
      </c>
      <c r="H89" s="1"/>
    </row>
    <row r="90" spans="1:8" ht="15.75" customHeight="1">
      <c r="A90" s="6">
        <v>84</v>
      </c>
      <c r="B90" s="11" t="s">
        <v>88</v>
      </c>
      <c r="C90" s="11">
        <f xml:space="preserve">      7750</f>
        <v>7750</v>
      </c>
      <c r="D90" s="11"/>
      <c r="E90" s="17"/>
      <c r="F90" s="12"/>
      <c r="G90" s="8">
        <f t="shared" si="1"/>
        <v>0</v>
      </c>
      <c r="H90" s="1"/>
    </row>
    <row r="91" spans="1:8" ht="15.75" customHeight="1">
      <c r="A91" s="6">
        <v>85</v>
      </c>
      <c r="B91" s="11" t="s">
        <v>89</v>
      </c>
      <c r="C91" s="11">
        <f xml:space="preserve">    100400</f>
        <v>100400</v>
      </c>
      <c r="D91" s="11"/>
      <c r="E91" s="17"/>
      <c r="F91" s="12"/>
      <c r="G91" s="8">
        <f t="shared" si="1"/>
        <v>0</v>
      </c>
      <c r="H91" s="1"/>
    </row>
    <row r="92" spans="1:8" ht="15.75" customHeight="1">
      <c r="A92" s="6">
        <v>86</v>
      </c>
      <c r="B92" s="11" t="s">
        <v>90</v>
      </c>
      <c r="C92" s="11">
        <f xml:space="preserve">     22450</f>
        <v>22450</v>
      </c>
      <c r="D92" s="11"/>
      <c r="E92" s="17"/>
      <c r="F92" s="12"/>
      <c r="G92" s="8">
        <f t="shared" si="1"/>
        <v>0</v>
      </c>
      <c r="H92" s="1"/>
    </row>
    <row r="93" spans="1:8" ht="15.75" customHeight="1">
      <c r="A93" s="6">
        <v>87</v>
      </c>
      <c r="B93" s="11" t="s">
        <v>91</v>
      </c>
      <c r="C93" s="11">
        <f xml:space="preserve">     20950</f>
        <v>20950</v>
      </c>
      <c r="D93" s="11"/>
      <c r="E93" s="17"/>
      <c r="F93" s="12"/>
      <c r="G93" s="8">
        <f t="shared" si="1"/>
        <v>0</v>
      </c>
      <c r="H93" s="1"/>
    </row>
    <row r="94" spans="1:8" ht="15.75" customHeight="1">
      <c r="A94" s="6">
        <v>88</v>
      </c>
      <c r="B94" s="11" t="s">
        <v>92</v>
      </c>
      <c r="C94" s="11">
        <f xml:space="preserve">    340650</f>
        <v>340650</v>
      </c>
      <c r="D94" s="11"/>
      <c r="E94" s="17"/>
      <c r="F94" s="12"/>
      <c r="G94" s="8">
        <f t="shared" si="1"/>
        <v>0</v>
      </c>
      <c r="H94" s="1"/>
    </row>
    <row r="95" spans="1:8" ht="15.75" customHeight="1">
      <c r="A95" s="6">
        <v>89</v>
      </c>
      <c r="B95" s="11" t="s">
        <v>93</v>
      </c>
      <c r="C95" s="11">
        <f xml:space="preserve">    131550</f>
        <v>131550</v>
      </c>
      <c r="D95" s="11"/>
      <c r="E95" s="17"/>
      <c r="F95" s="12"/>
      <c r="G95" s="8">
        <f t="shared" si="1"/>
        <v>0</v>
      </c>
      <c r="H95" s="1"/>
    </row>
    <row r="96" spans="1:8" ht="15.75" customHeight="1">
      <c r="A96" s="6">
        <v>90</v>
      </c>
      <c r="B96" s="11" t="s">
        <v>94</v>
      </c>
      <c r="C96" s="11">
        <f xml:space="preserve">      2100</f>
        <v>2100</v>
      </c>
      <c r="D96" s="11"/>
      <c r="E96" s="17"/>
      <c r="F96" s="12"/>
      <c r="G96" s="8">
        <f t="shared" si="1"/>
        <v>0</v>
      </c>
      <c r="H96" s="1"/>
    </row>
    <row r="97" spans="1:8" ht="15.75" customHeight="1">
      <c r="A97" s="6">
        <v>91</v>
      </c>
      <c r="B97" s="11" t="s">
        <v>94</v>
      </c>
      <c r="C97" s="11">
        <f xml:space="preserve">      2100</f>
        <v>2100</v>
      </c>
      <c r="D97" s="11"/>
      <c r="E97" s="17"/>
      <c r="F97" s="12"/>
      <c r="G97" s="8">
        <f t="shared" si="1"/>
        <v>0</v>
      </c>
      <c r="H97" s="1"/>
    </row>
    <row r="98" spans="1:8" ht="15.75" customHeight="1">
      <c r="A98" s="6">
        <v>92</v>
      </c>
      <c r="B98" s="11" t="s">
        <v>95</v>
      </c>
      <c r="C98" s="11">
        <f xml:space="preserve">     33450</f>
        <v>33450</v>
      </c>
      <c r="D98" s="11"/>
      <c r="E98" s="17"/>
      <c r="F98" s="12"/>
      <c r="G98" s="8">
        <f t="shared" si="1"/>
        <v>0</v>
      </c>
      <c r="H98" s="1"/>
    </row>
    <row r="99" spans="1:8" ht="15.75" customHeight="1">
      <c r="A99" s="6">
        <v>93</v>
      </c>
      <c r="B99" s="11" t="s">
        <v>96</v>
      </c>
      <c r="C99" s="11">
        <f xml:space="preserve">      3200</f>
        <v>3200</v>
      </c>
      <c r="D99" s="11"/>
      <c r="E99" s="17"/>
      <c r="F99" s="12"/>
      <c r="G99" s="8">
        <f t="shared" si="1"/>
        <v>0</v>
      </c>
      <c r="H99" s="1"/>
    </row>
    <row r="100" spans="1:8" ht="15.75" customHeight="1">
      <c r="A100" s="6">
        <v>94</v>
      </c>
      <c r="B100" s="11" t="s">
        <v>97</v>
      </c>
      <c r="C100" s="11">
        <f xml:space="preserve">     30600</f>
        <v>30600</v>
      </c>
      <c r="D100" s="11"/>
      <c r="E100" s="17"/>
      <c r="F100" s="12"/>
      <c r="G100" s="8">
        <f t="shared" si="1"/>
        <v>0</v>
      </c>
      <c r="H100" s="1"/>
    </row>
    <row r="101" spans="1:8" ht="15.75" customHeight="1">
      <c r="A101" s="6">
        <v>95</v>
      </c>
      <c r="B101" s="11" t="s">
        <v>98</v>
      </c>
      <c r="C101" s="11">
        <f xml:space="preserve">     26500</f>
        <v>26500</v>
      </c>
      <c r="D101" s="11"/>
      <c r="E101" s="17"/>
      <c r="F101" s="12"/>
      <c r="G101" s="8">
        <f t="shared" si="1"/>
        <v>0</v>
      </c>
      <c r="H101" s="1"/>
    </row>
    <row r="102" spans="1:8" ht="15.75" customHeight="1">
      <c r="A102" s="6">
        <v>96</v>
      </c>
      <c r="B102" s="11" t="s">
        <v>99</v>
      </c>
      <c r="C102" s="11">
        <f xml:space="preserve">     45700</f>
        <v>45700</v>
      </c>
      <c r="D102" s="11"/>
      <c r="E102" s="17"/>
      <c r="F102" s="12"/>
      <c r="G102" s="8">
        <f t="shared" si="1"/>
        <v>0</v>
      </c>
      <c r="H102" s="1"/>
    </row>
    <row r="103" spans="1:8" ht="15.75" customHeight="1">
      <c r="A103" s="6">
        <v>97</v>
      </c>
      <c r="B103" s="11" t="s">
        <v>100</v>
      </c>
      <c r="C103" s="11">
        <f xml:space="preserve">     93400</f>
        <v>93400</v>
      </c>
      <c r="D103" s="11"/>
      <c r="E103" s="17"/>
      <c r="F103" s="12"/>
      <c r="G103" s="8">
        <f t="shared" si="1"/>
        <v>0</v>
      </c>
      <c r="H103" s="1"/>
    </row>
    <row r="104" spans="1:8" ht="15.75" customHeight="1">
      <c r="A104" s="6">
        <v>98</v>
      </c>
      <c r="B104" s="11" t="s">
        <v>101</v>
      </c>
      <c r="C104" s="11">
        <f xml:space="preserve">     79300</f>
        <v>79300</v>
      </c>
      <c r="D104" s="11"/>
      <c r="E104" s="17"/>
      <c r="F104" s="12"/>
      <c r="G104" s="8">
        <f t="shared" si="1"/>
        <v>0</v>
      </c>
      <c r="H104" s="1"/>
    </row>
    <row r="105" spans="1:8" ht="15.75" customHeight="1">
      <c r="A105" s="6">
        <v>99</v>
      </c>
      <c r="B105" s="11" t="s">
        <v>101</v>
      </c>
      <c r="C105" s="11">
        <f xml:space="preserve">     79300</f>
        <v>79300</v>
      </c>
      <c r="D105" s="11"/>
      <c r="E105" s="17"/>
      <c r="F105" s="12"/>
      <c r="G105" s="8">
        <f t="shared" si="1"/>
        <v>0</v>
      </c>
      <c r="H105" s="1"/>
    </row>
    <row r="106" spans="1:8" ht="15.75" customHeight="1">
      <c r="A106" s="6">
        <v>100</v>
      </c>
      <c r="B106" s="11" t="s">
        <v>102</v>
      </c>
      <c r="C106" s="11">
        <f xml:space="preserve">     61100</f>
        <v>61100</v>
      </c>
      <c r="D106" s="11"/>
      <c r="E106" s="17"/>
      <c r="F106" s="12"/>
      <c r="G106" s="8">
        <f t="shared" si="1"/>
        <v>0</v>
      </c>
      <c r="H106" s="1"/>
    </row>
    <row r="107" spans="1:8" ht="15.75" customHeight="1">
      <c r="A107" s="6">
        <v>101</v>
      </c>
      <c r="B107" s="11" t="s">
        <v>103</v>
      </c>
      <c r="C107" s="11">
        <f xml:space="preserve">      3650</f>
        <v>3650</v>
      </c>
      <c r="D107" s="11"/>
      <c r="E107" s="17"/>
      <c r="F107" s="12"/>
      <c r="G107" s="8">
        <f t="shared" si="1"/>
        <v>0</v>
      </c>
      <c r="H107" s="1"/>
    </row>
    <row r="108" spans="1:8" ht="15.75" customHeight="1">
      <c r="A108" s="6">
        <v>102</v>
      </c>
      <c r="B108" s="11" t="s">
        <v>104</v>
      </c>
      <c r="C108" s="11">
        <f xml:space="preserve">      1050</f>
        <v>1050</v>
      </c>
      <c r="D108" s="11"/>
      <c r="E108" s="17"/>
      <c r="F108" s="12"/>
      <c r="G108" s="8">
        <f t="shared" si="1"/>
        <v>0</v>
      </c>
      <c r="H108" s="1"/>
    </row>
    <row r="109" spans="1:8" ht="15.75" customHeight="1">
      <c r="A109" s="6">
        <v>103</v>
      </c>
      <c r="B109" s="11" t="s">
        <v>105</v>
      </c>
      <c r="C109" s="11">
        <f xml:space="preserve">     16400</f>
        <v>16400</v>
      </c>
      <c r="D109" s="11"/>
      <c r="E109" s="17"/>
      <c r="F109" s="12"/>
      <c r="G109" s="8">
        <f t="shared" si="1"/>
        <v>0</v>
      </c>
      <c r="H109" s="1"/>
    </row>
    <row r="110" spans="1:8" ht="15.75" customHeight="1">
      <c r="A110" s="6">
        <v>104</v>
      </c>
      <c r="B110" s="11" t="s">
        <v>106</v>
      </c>
      <c r="C110" s="11">
        <f xml:space="preserve">      2325</f>
        <v>2325</v>
      </c>
      <c r="D110" s="11"/>
      <c r="E110" s="17"/>
      <c r="F110" s="12"/>
      <c r="G110" s="8">
        <f t="shared" si="1"/>
        <v>0</v>
      </c>
      <c r="H110" s="1"/>
    </row>
    <row r="111" spans="1:8" ht="15.75" customHeight="1">
      <c r="A111" s="6">
        <v>105</v>
      </c>
      <c r="B111" s="11" t="s">
        <v>107</v>
      </c>
      <c r="C111" s="11">
        <f xml:space="preserve">      1850</f>
        <v>1850</v>
      </c>
      <c r="D111" s="11"/>
      <c r="E111" s="17"/>
      <c r="F111" s="12"/>
      <c r="G111" s="8">
        <f t="shared" si="1"/>
        <v>0</v>
      </c>
      <c r="H111" s="1"/>
    </row>
    <row r="112" spans="1:8" ht="15.75" customHeight="1">
      <c r="A112" s="6">
        <v>106</v>
      </c>
      <c r="B112" s="11" t="s">
        <v>108</v>
      </c>
      <c r="C112" s="11">
        <f xml:space="preserve">      3150</f>
        <v>3150</v>
      </c>
      <c r="D112" s="11"/>
      <c r="E112" s="17"/>
      <c r="F112" s="12"/>
      <c r="G112" s="8">
        <f t="shared" si="1"/>
        <v>0</v>
      </c>
      <c r="H112" s="1"/>
    </row>
    <row r="113" spans="1:8" ht="15.75" customHeight="1">
      <c r="A113" s="6">
        <v>107</v>
      </c>
      <c r="B113" s="11" t="s">
        <v>109</v>
      </c>
      <c r="C113" s="11">
        <f xml:space="preserve">      2800</f>
        <v>2800</v>
      </c>
      <c r="D113" s="11"/>
      <c r="E113" s="17"/>
      <c r="F113" s="12"/>
      <c r="G113" s="8">
        <f t="shared" si="1"/>
        <v>0</v>
      </c>
      <c r="H113" s="1"/>
    </row>
    <row r="114" spans="1:8" ht="15.75" customHeight="1">
      <c r="A114" s="6">
        <v>108</v>
      </c>
      <c r="B114" s="11" t="s">
        <v>110</v>
      </c>
      <c r="C114" s="11">
        <f xml:space="preserve">      4700</f>
        <v>4700</v>
      </c>
      <c r="D114" s="11"/>
      <c r="E114" s="17"/>
      <c r="F114" s="12"/>
      <c r="G114" s="8">
        <f t="shared" si="1"/>
        <v>0</v>
      </c>
      <c r="H114" s="1"/>
    </row>
    <row r="115" spans="1:8" ht="15.75" customHeight="1">
      <c r="A115" s="6">
        <v>109</v>
      </c>
      <c r="B115" s="11" t="s">
        <v>111</v>
      </c>
      <c r="C115" s="11">
        <f xml:space="preserve">     29500</f>
        <v>29500</v>
      </c>
      <c r="D115" s="11"/>
      <c r="E115" s="17"/>
      <c r="F115" s="12"/>
      <c r="G115" s="8">
        <f t="shared" si="1"/>
        <v>0</v>
      </c>
      <c r="H115" s="1"/>
    </row>
    <row r="116" spans="1:8" ht="15.75" customHeight="1">
      <c r="A116" s="6">
        <v>110</v>
      </c>
      <c r="B116" s="11" t="s">
        <v>112</v>
      </c>
      <c r="C116" s="11">
        <f xml:space="preserve">     21250</f>
        <v>21250</v>
      </c>
      <c r="D116" s="11"/>
      <c r="E116" s="17"/>
      <c r="F116" s="12"/>
      <c r="G116" s="8">
        <f t="shared" si="1"/>
        <v>0</v>
      </c>
      <c r="H116" s="1"/>
    </row>
    <row r="117" spans="1:8" ht="15.75" customHeight="1">
      <c r="A117" s="6">
        <v>111</v>
      </c>
      <c r="B117" s="11" t="s">
        <v>113</v>
      </c>
      <c r="C117" s="11">
        <f xml:space="preserve">     50300</f>
        <v>50300</v>
      </c>
      <c r="D117" s="11"/>
      <c r="E117" s="17"/>
      <c r="F117" s="12"/>
      <c r="G117" s="8">
        <f t="shared" si="1"/>
        <v>0</v>
      </c>
      <c r="H117" s="1"/>
    </row>
    <row r="118" spans="1:8" ht="15.75" customHeight="1">
      <c r="A118" s="6">
        <v>112</v>
      </c>
      <c r="B118" s="11" t="s">
        <v>114</v>
      </c>
      <c r="C118" s="11">
        <f xml:space="preserve">     42100</f>
        <v>42100</v>
      </c>
      <c r="D118" s="11"/>
      <c r="E118" s="17"/>
      <c r="F118" s="12"/>
      <c r="G118" s="8">
        <f t="shared" si="1"/>
        <v>0</v>
      </c>
      <c r="H118" s="1"/>
    </row>
    <row r="119" spans="1:8" ht="15.75" customHeight="1">
      <c r="A119" s="6">
        <v>113</v>
      </c>
      <c r="B119" s="11" t="s">
        <v>115</v>
      </c>
      <c r="C119" s="11">
        <f xml:space="preserve">     13750</f>
        <v>13750</v>
      </c>
      <c r="D119" s="11"/>
      <c r="E119" s="17"/>
      <c r="F119" s="12"/>
      <c r="G119" s="8">
        <f t="shared" si="1"/>
        <v>0</v>
      </c>
      <c r="H119" s="1"/>
    </row>
    <row r="120" spans="1:8" ht="15.75" customHeight="1">
      <c r="A120" s="6">
        <v>114</v>
      </c>
      <c r="B120" s="11" t="s">
        <v>116</v>
      </c>
      <c r="C120" s="11">
        <f xml:space="preserve">     16900</f>
        <v>16900</v>
      </c>
      <c r="D120" s="11"/>
      <c r="E120" s="17"/>
      <c r="F120" s="12"/>
      <c r="G120" s="8">
        <f t="shared" si="1"/>
        <v>0</v>
      </c>
      <c r="H120" s="1"/>
    </row>
    <row r="121" spans="1:8" ht="15.75" customHeight="1">
      <c r="A121" s="6">
        <v>115</v>
      </c>
      <c r="B121" s="11" t="s">
        <v>117</v>
      </c>
      <c r="C121" s="11">
        <f xml:space="preserve">     33250</f>
        <v>33250</v>
      </c>
      <c r="D121" s="11"/>
      <c r="E121" s="17"/>
      <c r="F121" s="12"/>
      <c r="G121" s="8">
        <f t="shared" si="1"/>
        <v>0</v>
      </c>
      <c r="H121" s="1"/>
    </row>
    <row r="122" spans="1:8" ht="15.75" customHeight="1">
      <c r="A122" s="6">
        <v>116</v>
      </c>
      <c r="B122" s="11" t="s">
        <v>118</v>
      </c>
      <c r="C122" s="11">
        <f xml:space="preserve">      8250</f>
        <v>8250</v>
      </c>
      <c r="D122" s="11"/>
      <c r="E122" s="17"/>
      <c r="F122" s="12"/>
      <c r="G122" s="8">
        <f t="shared" si="1"/>
        <v>0</v>
      </c>
      <c r="H122" s="1"/>
    </row>
    <row r="123" spans="1:8" ht="15.75" customHeight="1">
      <c r="A123" s="6">
        <v>117</v>
      </c>
      <c r="B123" s="11" t="s">
        <v>119</v>
      </c>
      <c r="C123" s="11">
        <f xml:space="preserve">      8300</f>
        <v>8300</v>
      </c>
      <c r="D123" s="11"/>
      <c r="E123" s="17"/>
      <c r="F123" s="12"/>
      <c r="G123" s="8">
        <f t="shared" si="1"/>
        <v>0</v>
      </c>
      <c r="H123" s="1"/>
    </row>
    <row r="124" spans="1:8" ht="15.75" customHeight="1">
      <c r="A124" s="6">
        <v>118</v>
      </c>
      <c r="B124" s="11" t="s">
        <v>120</v>
      </c>
      <c r="C124" s="11">
        <f xml:space="preserve">     12900</f>
        <v>12900</v>
      </c>
      <c r="D124" s="11"/>
      <c r="E124" s="17"/>
      <c r="F124" s="12"/>
      <c r="G124" s="8">
        <f t="shared" si="1"/>
        <v>0</v>
      </c>
      <c r="H124" s="1"/>
    </row>
    <row r="125" spans="1:8" ht="15.75" customHeight="1">
      <c r="A125" s="6">
        <v>119</v>
      </c>
      <c r="B125" s="11" t="s">
        <v>121</v>
      </c>
      <c r="C125" s="11">
        <f xml:space="preserve">     65200</f>
        <v>65200</v>
      </c>
      <c r="D125" s="11"/>
      <c r="E125" s="17"/>
      <c r="F125" s="12"/>
      <c r="G125" s="8">
        <f t="shared" si="1"/>
        <v>0</v>
      </c>
      <c r="H125" s="1"/>
    </row>
    <row r="126" spans="1:8" ht="15.75" customHeight="1">
      <c r="A126" s="6">
        <v>120</v>
      </c>
      <c r="B126" s="11" t="s">
        <v>122</v>
      </c>
      <c r="C126" s="11">
        <f xml:space="preserve">     62000</f>
        <v>62000</v>
      </c>
      <c r="D126" s="11"/>
      <c r="E126" s="17"/>
      <c r="F126" s="12"/>
      <c r="G126" s="8">
        <f t="shared" si="1"/>
        <v>0</v>
      </c>
      <c r="H126" s="1"/>
    </row>
    <row r="127" spans="1:8" ht="15.75" customHeight="1">
      <c r="A127" s="6">
        <v>121</v>
      </c>
      <c r="B127" s="11" t="s">
        <v>123</v>
      </c>
      <c r="C127" s="11">
        <f xml:space="preserve">     23800</f>
        <v>23800</v>
      </c>
      <c r="D127" s="11"/>
      <c r="E127" s="17"/>
      <c r="F127" s="12"/>
      <c r="G127" s="8">
        <f t="shared" si="1"/>
        <v>0</v>
      </c>
      <c r="H127" s="1"/>
    </row>
    <row r="128" spans="1:8" ht="15.75" customHeight="1">
      <c r="A128" s="6">
        <v>122</v>
      </c>
      <c r="B128" s="11" t="s">
        <v>124</v>
      </c>
      <c r="C128" s="11">
        <f xml:space="preserve">     14400</f>
        <v>14400</v>
      </c>
      <c r="D128" s="11"/>
      <c r="E128" s="17"/>
      <c r="F128" s="12"/>
      <c r="G128" s="8">
        <f t="shared" si="1"/>
        <v>0</v>
      </c>
      <c r="H128" s="1"/>
    </row>
    <row r="129" spans="1:8" ht="15.75" customHeight="1">
      <c r="A129" s="6">
        <v>123</v>
      </c>
      <c r="B129" s="11" t="s">
        <v>125</v>
      </c>
      <c r="C129" s="11">
        <f xml:space="preserve">     11800</f>
        <v>11800</v>
      </c>
      <c r="D129" s="11"/>
      <c r="E129" s="17"/>
      <c r="F129" s="12"/>
      <c r="G129" s="8">
        <f t="shared" si="1"/>
        <v>0</v>
      </c>
      <c r="H129" s="1"/>
    </row>
    <row r="130" spans="1:8" ht="15.75" customHeight="1">
      <c r="A130" s="6">
        <v>124</v>
      </c>
      <c r="B130" s="11" t="s">
        <v>126</v>
      </c>
      <c r="C130" s="11">
        <f xml:space="preserve">     13550</f>
        <v>13550</v>
      </c>
      <c r="D130" s="11"/>
      <c r="E130" s="17"/>
      <c r="F130" s="12"/>
      <c r="G130" s="8">
        <f t="shared" si="1"/>
        <v>0</v>
      </c>
      <c r="H130" s="1"/>
    </row>
    <row r="131" spans="1:8" ht="15.75" customHeight="1">
      <c r="A131" s="6">
        <v>125</v>
      </c>
      <c r="B131" s="11" t="s">
        <v>127</v>
      </c>
      <c r="C131" s="11">
        <f xml:space="preserve">     71250</f>
        <v>71250</v>
      </c>
      <c r="D131" s="11"/>
      <c r="E131" s="17"/>
      <c r="F131" s="12"/>
      <c r="G131" s="8">
        <f t="shared" si="1"/>
        <v>0</v>
      </c>
      <c r="H131" s="1"/>
    </row>
    <row r="132" spans="1:8" ht="15.75" customHeight="1">
      <c r="A132" s="6">
        <v>126</v>
      </c>
      <c r="B132" s="11" t="s">
        <v>128</v>
      </c>
      <c r="C132" s="11">
        <f xml:space="preserve">     60550</f>
        <v>60550</v>
      </c>
      <c r="D132" s="11"/>
      <c r="E132" s="17"/>
      <c r="F132" s="12"/>
      <c r="G132" s="8">
        <f t="shared" si="1"/>
        <v>0</v>
      </c>
      <c r="H132" s="1"/>
    </row>
    <row r="133" spans="1:8" ht="15.75" customHeight="1">
      <c r="A133" s="6">
        <v>127</v>
      </c>
      <c r="B133" s="11" t="s">
        <v>129</v>
      </c>
      <c r="C133" s="11">
        <f xml:space="preserve">     95100</f>
        <v>95100</v>
      </c>
      <c r="D133" s="11"/>
      <c r="E133" s="17"/>
      <c r="F133" s="12"/>
      <c r="G133" s="8">
        <f t="shared" si="1"/>
        <v>0</v>
      </c>
      <c r="H133" s="1"/>
    </row>
    <row r="134" spans="1:8" ht="15.75" customHeight="1">
      <c r="A134" s="6">
        <v>128</v>
      </c>
      <c r="B134" s="11" t="s">
        <v>130</v>
      </c>
      <c r="C134" s="11">
        <f xml:space="preserve">     84800</f>
        <v>84800</v>
      </c>
      <c r="D134" s="11"/>
      <c r="E134" s="17"/>
      <c r="F134" s="12"/>
      <c r="G134" s="8">
        <f t="shared" si="1"/>
        <v>0</v>
      </c>
      <c r="H134" s="1"/>
    </row>
    <row r="135" spans="1:8" ht="15.75" customHeight="1">
      <c r="A135" s="6">
        <v>129</v>
      </c>
      <c r="B135" s="11" t="s">
        <v>130</v>
      </c>
      <c r="C135" s="11">
        <f xml:space="preserve">     84800</f>
        <v>84800</v>
      </c>
      <c r="D135" s="11"/>
      <c r="E135" s="17"/>
      <c r="F135" s="12"/>
      <c r="G135" s="8">
        <f t="shared" ref="G135:G198" si="2">C135*D135+E135*F135</f>
        <v>0</v>
      </c>
      <c r="H135" s="1"/>
    </row>
    <row r="136" spans="1:8" ht="15.75" customHeight="1">
      <c r="A136" s="6">
        <v>130</v>
      </c>
      <c r="B136" s="11" t="s">
        <v>131</v>
      </c>
      <c r="C136" s="11">
        <f xml:space="preserve">     83800</f>
        <v>83800</v>
      </c>
      <c r="D136" s="11"/>
      <c r="E136" s="17"/>
      <c r="F136" s="12"/>
      <c r="G136" s="8">
        <f t="shared" si="2"/>
        <v>0</v>
      </c>
      <c r="H136" s="1"/>
    </row>
    <row r="137" spans="1:8" ht="15.75" customHeight="1">
      <c r="A137" s="6">
        <v>131</v>
      </c>
      <c r="B137" s="11" t="s">
        <v>132</v>
      </c>
      <c r="C137" s="11">
        <f xml:space="preserve">     13600</f>
        <v>13600</v>
      </c>
      <c r="D137" s="11"/>
      <c r="E137" s="17"/>
      <c r="F137" s="12"/>
      <c r="G137" s="8">
        <f t="shared" si="2"/>
        <v>0</v>
      </c>
      <c r="H137" s="1"/>
    </row>
    <row r="138" spans="1:8" ht="15.75" customHeight="1">
      <c r="A138" s="6">
        <v>132</v>
      </c>
      <c r="B138" s="11" t="s">
        <v>133</v>
      </c>
      <c r="C138" s="11">
        <f xml:space="preserve">      9520</f>
        <v>9520</v>
      </c>
      <c r="D138" s="11"/>
      <c r="E138" s="17"/>
      <c r="F138" s="12"/>
      <c r="G138" s="8">
        <f t="shared" si="2"/>
        <v>0</v>
      </c>
      <c r="H138" s="1"/>
    </row>
    <row r="139" spans="1:8" ht="15.75" customHeight="1">
      <c r="A139" s="6">
        <v>133</v>
      </c>
      <c r="B139" s="11" t="s">
        <v>134</v>
      </c>
      <c r="C139" s="11">
        <f xml:space="preserve">      8000</f>
        <v>8000</v>
      </c>
      <c r="D139" s="11"/>
      <c r="E139" s="17"/>
      <c r="F139" s="12"/>
      <c r="G139" s="8">
        <f t="shared" si="2"/>
        <v>0</v>
      </c>
      <c r="H139" s="1"/>
    </row>
    <row r="140" spans="1:8" ht="15.75" customHeight="1">
      <c r="A140" s="6">
        <v>134</v>
      </c>
      <c r="B140" s="11" t="s">
        <v>135</v>
      </c>
      <c r="C140" s="11">
        <f xml:space="preserve">      6400</f>
        <v>6400</v>
      </c>
      <c r="D140" s="11"/>
      <c r="E140" s="17"/>
      <c r="F140" s="12"/>
      <c r="G140" s="8">
        <f t="shared" si="2"/>
        <v>0</v>
      </c>
      <c r="H140" s="1"/>
    </row>
    <row r="141" spans="1:8" ht="15.75" customHeight="1">
      <c r="A141" s="6">
        <v>135</v>
      </c>
      <c r="B141" s="11" t="s">
        <v>136</v>
      </c>
      <c r="C141" s="11">
        <f xml:space="preserve">     29850</f>
        <v>29850</v>
      </c>
      <c r="D141" s="11"/>
      <c r="E141" s="17"/>
      <c r="F141" s="12"/>
      <c r="G141" s="8">
        <f t="shared" si="2"/>
        <v>0</v>
      </c>
      <c r="H141" s="1"/>
    </row>
    <row r="142" spans="1:8" ht="15.75" customHeight="1">
      <c r="A142" s="6">
        <v>136</v>
      </c>
      <c r="B142" s="11" t="s">
        <v>137</v>
      </c>
      <c r="C142" s="11">
        <f xml:space="preserve">     23550</f>
        <v>23550</v>
      </c>
      <c r="D142" s="11"/>
      <c r="E142" s="17"/>
      <c r="F142" s="12"/>
      <c r="G142" s="8">
        <f t="shared" si="2"/>
        <v>0</v>
      </c>
      <c r="H142" s="1"/>
    </row>
    <row r="143" spans="1:8" ht="15.75" customHeight="1">
      <c r="A143" s="6">
        <v>137</v>
      </c>
      <c r="B143" s="11" t="s">
        <v>138</v>
      </c>
      <c r="C143" s="11">
        <f xml:space="preserve">     46850</f>
        <v>46850</v>
      </c>
      <c r="D143" s="11"/>
      <c r="E143" s="17"/>
      <c r="F143" s="12"/>
      <c r="G143" s="8">
        <f t="shared" si="2"/>
        <v>0</v>
      </c>
      <c r="H143" s="1"/>
    </row>
    <row r="144" spans="1:8" ht="15.75" customHeight="1">
      <c r="A144" s="6">
        <v>138</v>
      </c>
      <c r="B144" s="11" t="s">
        <v>139</v>
      </c>
      <c r="C144" s="11">
        <f xml:space="preserve">     27700</f>
        <v>27700</v>
      </c>
      <c r="D144" s="11"/>
      <c r="E144" s="17"/>
      <c r="F144" s="12"/>
      <c r="G144" s="8">
        <f t="shared" si="2"/>
        <v>0</v>
      </c>
      <c r="H144" s="1"/>
    </row>
    <row r="145" spans="1:8" ht="15.75" customHeight="1">
      <c r="A145" s="6">
        <v>139</v>
      </c>
      <c r="B145" s="11" t="s">
        <v>140</v>
      </c>
      <c r="C145" s="11">
        <f xml:space="preserve">     14000</f>
        <v>14000</v>
      </c>
      <c r="D145" s="11"/>
      <c r="E145" s="17"/>
      <c r="F145" s="12"/>
      <c r="G145" s="8">
        <f t="shared" si="2"/>
        <v>0</v>
      </c>
      <c r="H145" s="1"/>
    </row>
    <row r="146" spans="1:8" ht="15.75" customHeight="1">
      <c r="A146" s="6">
        <v>140</v>
      </c>
      <c r="B146" s="11" t="s">
        <v>141</v>
      </c>
      <c r="C146" s="11">
        <f xml:space="preserve">      3200</f>
        <v>3200</v>
      </c>
      <c r="D146" s="11"/>
      <c r="E146" s="17"/>
      <c r="F146" s="12"/>
      <c r="G146" s="8">
        <f t="shared" si="2"/>
        <v>0</v>
      </c>
      <c r="H146" s="1"/>
    </row>
    <row r="147" spans="1:8" ht="15.75" customHeight="1">
      <c r="A147" s="6">
        <v>141</v>
      </c>
      <c r="B147" s="11" t="s">
        <v>142</v>
      </c>
      <c r="C147" s="11">
        <f xml:space="preserve">     11000</f>
        <v>11000</v>
      </c>
      <c r="D147" s="11"/>
      <c r="E147" s="17"/>
      <c r="F147" s="12"/>
      <c r="G147" s="8">
        <f t="shared" si="2"/>
        <v>0</v>
      </c>
      <c r="H147" s="1"/>
    </row>
    <row r="148" spans="1:8" ht="15.75" customHeight="1">
      <c r="A148" s="6">
        <v>142</v>
      </c>
      <c r="B148" s="11" t="s">
        <v>143</v>
      </c>
      <c r="C148" s="11">
        <f xml:space="preserve">      1115</f>
        <v>1115</v>
      </c>
      <c r="D148" s="11"/>
      <c r="E148" s="17"/>
      <c r="F148" s="12"/>
      <c r="G148" s="8">
        <f t="shared" si="2"/>
        <v>0</v>
      </c>
      <c r="H148" s="1"/>
    </row>
    <row r="149" spans="1:8" ht="15.75" customHeight="1">
      <c r="A149" s="6">
        <v>143</v>
      </c>
      <c r="B149" s="11" t="s">
        <v>144</v>
      </c>
      <c r="C149" s="11">
        <f xml:space="preserve">      5100</f>
        <v>5100</v>
      </c>
      <c r="D149" s="11"/>
      <c r="E149" s="17"/>
      <c r="F149" s="12"/>
      <c r="G149" s="8">
        <f t="shared" si="2"/>
        <v>0</v>
      </c>
      <c r="H149" s="1"/>
    </row>
    <row r="150" spans="1:8" ht="15.75" customHeight="1">
      <c r="A150" s="6">
        <v>144</v>
      </c>
      <c r="B150" s="11" t="s">
        <v>145</v>
      </c>
      <c r="C150" s="11">
        <f xml:space="preserve">      5200</f>
        <v>5200</v>
      </c>
      <c r="D150" s="11"/>
      <c r="E150" s="17"/>
      <c r="F150" s="12"/>
      <c r="G150" s="8">
        <f t="shared" si="2"/>
        <v>0</v>
      </c>
      <c r="H150" s="1"/>
    </row>
    <row r="151" spans="1:8" ht="15.75" customHeight="1">
      <c r="A151" s="6">
        <v>145</v>
      </c>
      <c r="B151" s="11" t="s">
        <v>146</v>
      </c>
      <c r="C151" s="11">
        <f xml:space="preserve">      2650</f>
        <v>2650</v>
      </c>
      <c r="D151" s="11"/>
      <c r="E151" s="17"/>
      <c r="F151" s="12"/>
      <c r="G151" s="8">
        <f t="shared" si="2"/>
        <v>0</v>
      </c>
      <c r="H151" s="1"/>
    </row>
    <row r="152" spans="1:8" ht="15.75" customHeight="1">
      <c r="A152" s="6">
        <v>146</v>
      </c>
      <c r="B152" s="11" t="s">
        <v>147</v>
      </c>
      <c r="C152" s="11">
        <f xml:space="preserve">      2950</f>
        <v>2950</v>
      </c>
      <c r="D152" s="11"/>
      <c r="E152" s="17"/>
      <c r="F152" s="12"/>
      <c r="G152" s="8">
        <f t="shared" si="2"/>
        <v>0</v>
      </c>
      <c r="H152" s="1"/>
    </row>
    <row r="153" spans="1:8" ht="15.75" customHeight="1">
      <c r="A153" s="6">
        <v>147</v>
      </c>
      <c r="B153" s="11" t="s">
        <v>148</v>
      </c>
      <c r="C153" s="11">
        <f xml:space="preserve">      4200</f>
        <v>4200</v>
      </c>
      <c r="D153" s="11"/>
      <c r="E153" s="17"/>
      <c r="F153" s="12"/>
      <c r="G153" s="8">
        <f t="shared" si="2"/>
        <v>0</v>
      </c>
      <c r="H153" s="1"/>
    </row>
    <row r="154" spans="1:8" ht="15.75" customHeight="1">
      <c r="A154" s="6">
        <v>148</v>
      </c>
      <c r="B154" s="11" t="s">
        <v>149</v>
      </c>
      <c r="C154" s="11">
        <f xml:space="preserve">      5000</f>
        <v>5000</v>
      </c>
      <c r="D154" s="11"/>
      <c r="E154" s="17"/>
      <c r="F154" s="12"/>
      <c r="G154" s="8">
        <f t="shared" si="2"/>
        <v>0</v>
      </c>
      <c r="H154" s="1"/>
    </row>
    <row r="155" spans="1:8" ht="15.75" customHeight="1">
      <c r="A155" s="6">
        <v>149</v>
      </c>
      <c r="B155" s="11" t="s">
        <v>2456</v>
      </c>
      <c r="C155" s="11">
        <f xml:space="preserve">     42500</f>
        <v>42500</v>
      </c>
      <c r="D155" s="11"/>
      <c r="E155" s="17"/>
      <c r="F155" s="12"/>
      <c r="G155" s="8">
        <f t="shared" si="2"/>
        <v>0</v>
      </c>
      <c r="H155" s="1"/>
    </row>
    <row r="156" spans="1:8" ht="15.75" customHeight="1">
      <c r="A156" s="6">
        <v>150</v>
      </c>
      <c r="B156" s="11" t="s">
        <v>150</v>
      </c>
      <c r="C156" s="11">
        <f xml:space="preserve">      9800</f>
        <v>9800</v>
      </c>
      <c r="D156" s="11"/>
      <c r="E156" s="17"/>
      <c r="F156" s="12"/>
      <c r="G156" s="8">
        <f t="shared" si="2"/>
        <v>0</v>
      </c>
      <c r="H156" s="1"/>
    </row>
    <row r="157" spans="1:8" ht="15.75" customHeight="1">
      <c r="A157" s="6">
        <v>151</v>
      </c>
      <c r="B157" s="11" t="s">
        <v>151</v>
      </c>
      <c r="C157" s="11">
        <f xml:space="preserve">    170650</f>
        <v>170650</v>
      </c>
      <c r="D157" s="11"/>
      <c r="E157" s="17"/>
      <c r="F157" s="12"/>
      <c r="G157" s="8">
        <f t="shared" si="2"/>
        <v>0</v>
      </c>
      <c r="H157" s="1"/>
    </row>
    <row r="158" spans="1:8" ht="15.75" customHeight="1">
      <c r="A158" s="6">
        <v>152</v>
      </c>
      <c r="B158" s="11" t="s">
        <v>152</v>
      </c>
      <c r="C158" s="11">
        <f xml:space="preserve">     79150</f>
        <v>79150</v>
      </c>
      <c r="D158" s="11"/>
      <c r="E158" s="17"/>
      <c r="F158" s="12"/>
      <c r="G158" s="8">
        <f t="shared" si="2"/>
        <v>0</v>
      </c>
      <c r="H158" s="1"/>
    </row>
    <row r="159" spans="1:8" ht="15.75" customHeight="1">
      <c r="A159" s="6">
        <v>153</v>
      </c>
      <c r="B159" s="11" t="s">
        <v>153</v>
      </c>
      <c r="C159" s="11">
        <f xml:space="preserve">     69950</f>
        <v>69950</v>
      </c>
      <c r="D159" s="11"/>
      <c r="E159" s="17"/>
      <c r="F159" s="12"/>
      <c r="G159" s="8">
        <f t="shared" si="2"/>
        <v>0</v>
      </c>
      <c r="H159" s="1"/>
    </row>
    <row r="160" spans="1:8" ht="15.75" customHeight="1">
      <c r="A160" s="6">
        <v>154</v>
      </c>
      <c r="B160" s="11" t="s">
        <v>154</v>
      </c>
      <c r="C160" s="11">
        <f xml:space="preserve">      2950</f>
        <v>2950</v>
      </c>
      <c r="D160" s="11"/>
      <c r="E160" s="17"/>
      <c r="F160" s="12"/>
      <c r="G160" s="8">
        <f t="shared" si="2"/>
        <v>0</v>
      </c>
      <c r="H160" s="1"/>
    </row>
    <row r="161" spans="1:8" ht="15.75" customHeight="1">
      <c r="A161" s="6">
        <v>155</v>
      </c>
      <c r="B161" s="11" t="s">
        <v>155</v>
      </c>
      <c r="C161" s="11">
        <f xml:space="preserve">      4750</f>
        <v>4750</v>
      </c>
      <c r="D161" s="11"/>
      <c r="E161" s="17"/>
      <c r="F161" s="12"/>
      <c r="G161" s="8">
        <f t="shared" si="2"/>
        <v>0</v>
      </c>
      <c r="H161" s="1"/>
    </row>
    <row r="162" spans="1:8" ht="15.75" customHeight="1">
      <c r="A162" s="6">
        <v>156</v>
      </c>
      <c r="B162" s="11" t="s">
        <v>156</v>
      </c>
      <c r="C162" s="11">
        <f xml:space="preserve">      5150</f>
        <v>5150</v>
      </c>
      <c r="D162" s="11"/>
      <c r="E162" s="17"/>
      <c r="F162" s="12"/>
      <c r="G162" s="8">
        <f t="shared" si="2"/>
        <v>0</v>
      </c>
      <c r="H162" s="1"/>
    </row>
    <row r="163" spans="1:8" ht="15.75" customHeight="1">
      <c r="A163" s="6">
        <v>157</v>
      </c>
      <c r="B163" s="11" t="s">
        <v>157</v>
      </c>
      <c r="C163" s="11">
        <f xml:space="preserve">      2600</f>
        <v>2600</v>
      </c>
      <c r="D163" s="11"/>
      <c r="E163" s="17"/>
      <c r="F163" s="12"/>
      <c r="G163" s="8">
        <f t="shared" si="2"/>
        <v>0</v>
      </c>
      <c r="H163" s="1"/>
    </row>
    <row r="164" spans="1:8" ht="15.75" customHeight="1">
      <c r="A164" s="6">
        <v>158</v>
      </c>
      <c r="B164" s="11" t="s">
        <v>157</v>
      </c>
      <c r="C164" s="11">
        <f xml:space="preserve">      2625</f>
        <v>2625</v>
      </c>
      <c r="D164" s="11"/>
      <c r="E164" s="17"/>
      <c r="F164" s="12"/>
      <c r="G164" s="8">
        <f t="shared" si="2"/>
        <v>0</v>
      </c>
      <c r="H164" s="1"/>
    </row>
    <row r="165" spans="1:8" ht="15.75" customHeight="1">
      <c r="A165" s="6">
        <v>159</v>
      </c>
      <c r="B165" s="11" t="s">
        <v>158</v>
      </c>
      <c r="C165" s="11">
        <f xml:space="preserve">      4200</f>
        <v>4200</v>
      </c>
      <c r="D165" s="11"/>
      <c r="E165" s="17"/>
      <c r="F165" s="12"/>
      <c r="G165" s="8">
        <f t="shared" si="2"/>
        <v>0</v>
      </c>
      <c r="H165" s="1"/>
    </row>
    <row r="166" spans="1:8" ht="15.75" customHeight="1">
      <c r="A166" s="6">
        <v>160</v>
      </c>
      <c r="B166" s="11" t="s">
        <v>159</v>
      </c>
      <c r="C166" s="11">
        <f xml:space="preserve">      4650</f>
        <v>4650</v>
      </c>
      <c r="D166" s="11"/>
      <c r="E166" s="17"/>
      <c r="F166" s="12"/>
      <c r="G166" s="8">
        <f t="shared" si="2"/>
        <v>0</v>
      </c>
      <c r="H166" s="1"/>
    </row>
    <row r="167" spans="1:8" ht="15.75" customHeight="1">
      <c r="A167" s="6">
        <v>161</v>
      </c>
      <c r="B167" s="11" t="s">
        <v>2457</v>
      </c>
      <c r="C167" s="11">
        <f xml:space="preserve">      2750</f>
        <v>2750</v>
      </c>
      <c r="D167" s="11"/>
      <c r="E167" s="17"/>
      <c r="F167" s="12"/>
      <c r="G167" s="8">
        <f t="shared" si="2"/>
        <v>0</v>
      </c>
      <c r="H167" s="1"/>
    </row>
    <row r="168" spans="1:8" ht="15.75" customHeight="1">
      <c r="A168" s="6">
        <v>162</v>
      </c>
      <c r="B168" s="11" t="s">
        <v>160</v>
      </c>
      <c r="C168" s="11">
        <f xml:space="preserve">      2600</f>
        <v>2600</v>
      </c>
      <c r="D168" s="11"/>
      <c r="E168" s="17"/>
      <c r="F168" s="12"/>
      <c r="G168" s="8">
        <f t="shared" si="2"/>
        <v>0</v>
      </c>
      <c r="H168" s="1"/>
    </row>
    <row r="169" spans="1:8" ht="15.75" customHeight="1">
      <c r="A169" s="6">
        <v>163</v>
      </c>
      <c r="B169" s="11" t="s">
        <v>160</v>
      </c>
      <c r="C169" s="11">
        <f xml:space="preserve">      2650</f>
        <v>2650</v>
      </c>
      <c r="D169" s="11"/>
      <c r="E169" s="17"/>
      <c r="F169" s="12"/>
      <c r="G169" s="8">
        <f t="shared" si="2"/>
        <v>0</v>
      </c>
      <c r="H169" s="1"/>
    </row>
    <row r="170" spans="1:8" ht="15.75" customHeight="1">
      <c r="A170" s="6">
        <v>164</v>
      </c>
      <c r="B170" s="11" t="s">
        <v>161</v>
      </c>
      <c r="C170" s="11">
        <f xml:space="preserve">      2200</f>
        <v>2200</v>
      </c>
      <c r="D170" s="11"/>
      <c r="E170" s="17"/>
      <c r="F170" s="12"/>
      <c r="G170" s="8">
        <f t="shared" si="2"/>
        <v>0</v>
      </c>
      <c r="H170" s="1"/>
    </row>
    <row r="171" spans="1:8" ht="15.75" customHeight="1">
      <c r="A171" s="6">
        <v>165</v>
      </c>
      <c r="B171" s="11" t="s">
        <v>162</v>
      </c>
      <c r="C171" s="11">
        <f xml:space="preserve">      4005</f>
        <v>4005</v>
      </c>
      <c r="D171" s="11"/>
      <c r="E171" s="17"/>
      <c r="F171" s="12"/>
      <c r="G171" s="8">
        <f t="shared" si="2"/>
        <v>0</v>
      </c>
      <c r="H171" s="1"/>
    </row>
    <row r="172" spans="1:8" ht="15.75" customHeight="1">
      <c r="A172" s="6">
        <v>166</v>
      </c>
      <c r="B172" s="11" t="s">
        <v>163</v>
      </c>
      <c r="C172" s="11">
        <f xml:space="preserve">      2025</f>
        <v>2025</v>
      </c>
      <c r="D172" s="11"/>
      <c r="E172" s="17"/>
      <c r="F172" s="12"/>
      <c r="G172" s="8">
        <f t="shared" si="2"/>
        <v>0</v>
      </c>
      <c r="H172" s="1"/>
    </row>
    <row r="173" spans="1:8" ht="15.75" customHeight="1">
      <c r="A173" s="6">
        <v>167</v>
      </c>
      <c r="B173" s="11" t="s">
        <v>164</v>
      </c>
      <c r="C173" s="11">
        <f xml:space="preserve">      1650</f>
        <v>1650</v>
      </c>
      <c r="D173" s="11"/>
      <c r="E173" s="17"/>
      <c r="F173" s="12"/>
      <c r="G173" s="8">
        <f t="shared" si="2"/>
        <v>0</v>
      </c>
      <c r="H173" s="1"/>
    </row>
    <row r="174" spans="1:8" ht="15.75" customHeight="1">
      <c r="A174" s="6">
        <v>168</v>
      </c>
      <c r="B174" s="11" t="s">
        <v>165</v>
      </c>
      <c r="C174" s="11">
        <f xml:space="preserve">      2750</f>
        <v>2750</v>
      </c>
      <c r="D174" s="11"/>
      <c r="E174" s="17"/>
      <c r="F174" s="12"/>
      <c r="G174" s="8">
        <f t="shared" si="2"/>
        <v>0</v>
      </c>
      <c r="H174" s="1"/>
    </row>
    <row r="175" spans="1:8" ht="15.75" customHeight="1">
      <c r="A175" s="6">
        <v>169</v>
      </c>
      <c r="B175" s="11" t="s">
        <v>2458</v>
      </c>
      <c r="C175" s="11">
        <f xml:space="preserve">      2750</f>
        <v>2750</v>
      </c>
      <c r="D175" s="11"/>
      <c r="E175" s="17"/>
      <c r="F175" s="12"/>
      <c r="G175" s="8">
        <f t="shared" si="2"/>
        <v>0</v>
      </c>
      <c r="H175" s="1"/>
    </row>
    <row r="176" spans="1:8" ht="15.75" customHeight="1">
      <c r="A176" s="6">
        <v>170</v>
      </c>
      <c r="B176" s="11" t="s">
        <v>166</v>
      </c>
      <c r="C176" s="11">
        <f xml:space="preserve">      9600</f>
        <v>9600</v>
      </c>
      <c r="D176" s="11"/>
      <c r="E176" s="17"/>
      <c r="F176" s="12"/>
      <c r="G176" s="8">
        <f t="shared" si="2"/>
        <v>0</v>
      </c>
      <c r="H176" s="1"/>
    </row>
    <row r="177" spans="1:8" ht="15.75" customHeight="1">
      <c r="A177" s="6">
        <v>171</v>
      </c>
      <c r="B177" s="11" t="s">
        <v>167</v>
      </c>
      <c r="C177" s="11">
        <f xml:space="preserve">      3200</f>
        <v>3200</v>
      </c>
      <c r="D177" s="11"/>
      <c r="E177" s="17"/>
      <c r="F177" s="12"/>
      <c r="G177" s="8">
        <f t="shared" si="2"/>
        <v>0</v>
      </c>
      <c r="H177" s="1"/>
    </row>
    <row r="178" spans="1:8" ht="15.75" customHeight="1">
      <c r="A178" s="6">
        <v>172</v>
      </c>
      <c r="B178" s="11" t="s">
        <v>168</v>
      </c>
      <c r="C178" s="11">
        <f xml:space="preserve">      5200</f>
        <v>5200</v>
      </c>
      <c r="D178" s="11"/>
      <c r="E178" s="17"/>
      <c r="F178" s="12"/>
      <c r="G178" s="8">
        <f t="shared" si="2"/>
        <v>0</v>
      </c>
      <c r="H178" s="1"/>
    </row>
    <row r="179" spans="1:8" ht="15.75" customHeight="1">
      <c r="A179" s="6">
        <v>173</v>
      </c>
      <c r="B179" s="11" t="s">
        <v>169</v>
      </c>
      <c r="C179" s="11">
        <f xml:space="preserve">      3300</f>
        <v>3300</v>
      </c>
      <c r="D179" s="11"/>
      <c r="E179" s="17"/>
      <c r="F179" s="12"/>
      <c r="G179" s="8">
        <f t="shared" si="2"/>
        <v>0</v>
      </c>
      <c r="H179" s="1"/>
    </row>
    <row r="180" spans="1:8" ht="15.75" customHeight="1">
      <c r="A180" s="6">
        <v>174</v>
      </c>
      <c r="B180" s="11" t="s">
        <v>170</v>
      </c>
      <c r="C180" s="11">
        <f xml:space="preserve">     54750</f>
        <v>54750</v>
      </c>
      <c r="D180" s="11"/>
      <c r="E180" s="17"/>
      <c r="F180" s="12"/>
      <c r="G180" s="8">
        <f t="shared" si="2"/>
        <v>0</v>
      </c>
      <c r="H180" s="1"/>
    </row>
    <row r="181" spans="1:8" ht="15.75" customHeight="1">
      <c r="A181" s="6">
        <v>175</v>
      </c>
      <c r="B181" s="11" t="s">
        <v>171</v>
      </c>
      <c r="C181" s="11">
        <f xml:space="preserve">     31500</f>
        <v>31500</v>
      </c>
      <c r="D181" s="11"/>
      <c r="E181" s="17"/>
      <c r="F181" s="12"/>
      <c r="G181" s="8">
        <f t="shared" si="2"/>
        <v>0</v>
      </c>
      <c r="H181" s="1"/>
    </row>
    <row r="182" spans="1:8" ht="15.75" customHeight="1">
      <c r="A182" s="6">
        <v>176</v>
      </c>
      <c r="B182" s="11" t="s">
        <v>172</v>
      </c>
      <c r="C182" s="11">
        <f xml:space="preserve">     38750</f>
        <v>38750</v>
      </c>
      <c r="D182" s="11"/>
      <c r="E182" s="17"/>
      <c r="F182" s="12"/>
      <c r="G182" s="8">
        <f t="shared" si="2"/>
        <v>0</v>
      </c>
      <c r="H182" s="1"/>
    </row>
    <row r="183" spans="1:8" ht="15.75" customHeight="1">
      <c r="A183" s="6">
        <v>177</v>
      </c>
      <c r="B183" s="11" t="s">
        <v>173</v>
      </c>
      <c r="C183" s="11">
        <f xml:space="preserve">     67850</f>
        <v>67850</v>
      </c>
      <c r="D183" s="11"/>
      <c r="E183" s="17"/>
      <c r="F183" s="12"/>
      <c r="G183" s="8">
        <f t="shared" si="2"/>
        <v>0</v>
      </c>
      <c r="H183" s="1"/>
    </row>
    <row r="184" spans="1:8" ht="15.75" customHeight="1">
      <c r="A184" s="6">
        <v>178</v>
      </c>
      <c r="B184" s="11" t="s">
        <v>174</v>
      </c>
      <c r="C184" s="11">
        <f xml:space="preserve">     52300</f>
        <v>52300</v>
      </c>
      <c r="D184" s="11"/>
      <c r="E184" s="17"/>
      <c r="F184" s="12"/>
      <c r="G184" s="8">
        <f t="shared" si="2"/>
        <v>0</v>
      </c>
      <c r="H184" s="1"/>
    </row>
    <row r="185" spans="1:8" ht="15.75" customHeight="1">
      <c r="A185" s="6">
        <v>179</v>
      </c>
      <c r="B185" s="11" t="s">
        <v>175</v>
      </c>
      <c r="C185" s="11">
        <f xml:space="preserve">     66750</f>
        <v>66750</v>
      </c>
      <c r="D185" s="11"/>
      <c r="E185" s="17"/>
      <c r="F185" s="12"/>
      <c r="G185" s="8">
        <f t="shared" si="2"/>
        <v>0</v>
      </c>
      <c r="H185" s="1"/>
    </row>
    <row r="186" spans="1:8" ht="15.75" customHeight="1">
      <c r="A186" s="6">
        <v>180</v>
      </c>
      <c r="B186" s="11" t="s">
        <v>176</v>
      </c>
      <c r="C186" s="11">
        <f xml:space="preserve">     70500</f>
        <v>70500</v>
      </c>
      <c r="D186" s="11"/>
      <c r="E186" s="17"/>
      <c r="F186" s="12"/>
      <c r="G186" s="8">
        <f t="shared" si="2"/>
        <v>0</v>
      </c>
      <c r="H186" s="1"/>
    </row>
    <row r="187" spans="1:8" ht="15.75" customHeight="1">
      <c r="A187" s="6">
        <v>181</v>
      </c>
      <c r="B187" s="11" t="s">
        <v>177</v>
      </c>
      <c r="C187" s="11">
        <f xml:space="preserve">      4350</f>
        <v>4350</v>
      </c>
      <c r="D187" s="11"/>
      <c r="E187" s="17"/>
      <c r="F187" s="12"/>
      <c r="G187" s="8">
        <f t="shared" si="2"/>
        <v>0</v>
      </c>
      <c r="H187" s="1"/>
    </row>
    <row r="188" spans="1:8" ht="15.75" customHeight="1">
      <c r="A188" s="6">
        <v>182</v>
      </c>
      <c r="B188" s="11" t="s">
        <v>177</v>
      </c>
      <c r="C188" s="11">
        <f xml:space="preserve">      4350</f>
        <v>4350</v>
      </c>
      <c r="D188" s="11"/>
      <c r="E188" s="17"/>
      <c r="F188" s="12"/>
      <c r="G188" s="8">
        <f t="shared" si="2"/>
        <v>0</v>
      </c>
      <c r="H188" s="1"/>
    </row>
    <row r="189" spans="1:8" ht="15.75" customHeight="1">
      <c r="A189" s="6">
        <v>183</v>
      </c>
      <c r="B189" s="11" t="s">
        <v>178</v>
      </c>
      <c r="C189" s="11">
        <f xml:space="preserve">      2250</f>
        <v>2250</v>
      </c>
      <c r="D189" s="11"/>
      <c r="E189" s="17"/>
      <c r="F189" s="12"/>
      <c r="G189" s="8">
        <f t="shared" si="2"/>
        <v>0</v>
      </c>
      <c r="H189" s="1"/>
    </row>
    <row r="190" spans="1:8" ht="15.75" customHeight="1">
      <c r="A190" s="6">
        <v>184</v>
      </c>
      <c r="B190" s="11" t="s">
        <v>179</v>
      </c>
      <c r="C190" s="11">
        <f xml:space="preserve">     23100</f>
        <v>23100</v>
      </c>
      <c r="D190" s="11"/>
      <c r="E190" s="17"/>
      <c r="F190" s="12"/>
      <c r="G190" s="8">
        <f t="shared" si="2"/>
        <v>0</v>
      </c>
      <c r="H190" s="1"/>
    </row>
    <row r="191" spans="1:8" ht="15.75" customHeight="1">
      <c r="A191" s="6">
        <v>185</v>
      </c>
      <c r="B191" s="11" t="s">
        <v>180</v>
      </c>
      <c r="C191" s="11">
        <f xml:space="preserve">     23350</f>
        <v>23350</v>
      </c>
      <c r="D191" s="11"/>
      <c r="E191" s="17"/>
      <c r="F191" s="12"/>
      <c r="G191" s="8">
        <f t="shared" si="2"/>
        <v>0</v>
      </c>
      <c r="H191" s="1"/>
    </row>
    <row r="192" spans="1:8" ht="15.75" customHeight="1">
      <c r="A192" s="6">
        <v>186</v>
      </c>
      <c r="B192" s="11" t="s">
        <v>181</v>
      </c>
      <c r="C192" s="11">
        <f xml:space="preserve">      2700</f>
        <v>2700</v>
      </c>
      <c r="D192" s="11"/>
      <c r="E192" s="17"/>
      <c r="F192" s="12"/>
      <c r="G192" s="8">
        <f t="shared" si="2"/>
        <v>0</v>
      </c>
      <c r="H192" s="1"/>
    </row>
    <row r="193" spans="1:8" ht="15.75" customHeight="1">
      <c r="A193" s="6">
        <v>187</v>
      </c>
      <c r="B193" s="11" t="s">
        <v>182</v>
      </c>
      <c r="C193" s="11">
        <f xml:space="preserve">     23750</f>
        <v>23750</v>
      </c>
      <c r="D193" s="11"/>
      <c r="E193" s="17"/>
      <c r="F193" s="12"/>
      <c r="G193" s="8">
        <f t="shared" si="2"/>
        <v>0</v>
      </c>
      <c r="H193" s="1"/>
    </row>
    <row r="194" spans="1:8" ht="15.75" customHeight="1">
      <c r="A194" s="6">
        <v>188</v>
      </c>
      <c r="B194" s="11" t="s">
        <v>183</v>
      </c>
      <c r="C194" s="11">
        <f xml:space="preserve">     33000</f>
        <v>33000</v>
      </c>
      <c r="D194" s="11"/>
      <c r="E194" s="17"/>
      <c r="F194" s="12"/>
      <c r="G194" s="8">
        <f t="shared" si="2"/>
        <v>0</v>
      </c>
      <c r="H194" s="1"/>
    </row>
    <row r="195" spans="1:8" ht="15.75" customHeight="1">
      <c r="A195" s="6">
        <v>189</v>
      </c>
      <c r="B195" s="11" t="s">
        <v>184</v>
      </c>
      <c r="C195" s="11">
        <f xml:space="preserve">     42750</f>
        <v>42750</v>
      </c>
      <c r="D195" s="11"/>
      <c r="E195" s="17"/>
      <c r="F195" s="12"/>
      <c r="G195" s="8">
        <f t="shared" si="2"/>
        <v>0</v>
      </c>
      <c r="H195" s="1"/>
    </row>
    <row r="196" spans="1:8" ht="15.75" customHeight="1">
      <c r="A196" s="6">
        <v>190</v>
      </c>
      <c r="B196" s="11" t="s">
        <v>185</v>
      </c>
      <c r="C196" s="11">
        <f xml:space="preserve">     33800</f>
        <v>33800</v>
      </c>
      <c r="D196" s="11"/>
      <c r="E196" s="17"/>
      <c r="F196" s="12"/>
      <c r="G196" s="8">
        <f t="shared" si="2"/>
        <v>0</v>
      </c>
      <c r="H196" s="1"/>
    </row>
    <row r="197" spans="1:8" ht="15.75" customHeight="1">
      <c r="A197" s="6">
        <v>191</v>
      </c>
      <c r="B197" s="11" t="s">
        <v>185</v>
      </c>
      <c r="C197" s="11">
        <f xml:space="preserve">     33000</f>
        <v>33000</v>
      </c>
      <c r="D197" s="11"/>
      <c r="E197" s="17"/>
      <c r="F197" s="12"/>
      <c r="G197" s="8">
        <f t="shared" si="2"/>
        <v>0</v>
      </c>
      <c r="H197" s="1"/>
    </row>
    <row r="198" spans="1:8" ht="15.75" customHeight="1">
      <c r="A198" s="6">
        <v>192</v>
      </c>
      <c r="B198" s="11" t="s">
        <v>186</v>
      </c>
      <c r="C198" s="11">
        <f xml:space="preserve">     14850</f>
        <v>14850</v>
      </c>
      <c r="D198" s="11"/>
      <c r="E198" s="17"/>
      <c r="F198" s="12"/>
      <c r="G198" s="8">
        <f t="shared" si="2"/>
        <v>0</v>
      </c>
      <c r="H198" s="1"/>
    </row>
    <row r="199" spans="1:8" ht="15.75" customHeight="1">
      <c r="A199" s="6">
        <v>193</v>
      </c>
      <c r="B199" s="11" t="s">
        <v>186</v>
      </c>
      <c r="C199" s="11">
        <f xml:space="preserve">     14850</f>
        <v>14850</v>
      </c>
      <c r="D199" s="11"/>
      <c r="E199" s="17"/>
      <c r="F199" s="12"/>
      <c r="G199" s="8">
        <f t="shared" ref="G199:G262" si="3">C199*D199+E199*F199</f>
        <v>0</v>
      </c>
      <c r="H199" s="1"/>
    </row>
    <row r="200" spans="1:8" ht="15.75" customHeight="1">
      <c r="A200" s="6">
        <v>194</v>
      </c>
      <c r="B200" s="11" t="s">
        <v>187</v>
      </c>
      <c r="C200" s="11">
        <f xml:space="preserve">      4150</f>
        <v>4150</v>
      </c>
      <c r="D200" s="11"/>
      <c r="E200" s="17"/>
      <c r="F200" s="12"/>
      <c r="G200" s="8">
        <f t="shared" si="3"/>
        <v>0</v>
      </c>
      <c r="H200" s="1"/>
    </row>
    <row r="201" spans="1:8" ht="15.75" customHeight="1">
      <c r="A201" s="6">
        <v>195</v>
      </c>
      <c r="B201" s="11" t="s">
        <v>188</v>
      </c>
      <c r="C201" s="11">
        <f xml:space="preserve">      2950</f>
        <v>2950</v>
      </c>
      <c r="D201" s="11"/>
      <c r="E201" s="17"/>
      <c r="F201" s="12"/>
      <c r="G201" s="8">
        <f t="shared" si="3"/>
        <v>0</v>
      </c>
      <c r="H201" s="1"/>
    </row>
    <row r="202" spans="1:8" ht="15.75" customHeight="1">
      <c r="A202" s="6">
        <v>196</v>
      </c>
      <c r="B202" s="11" t="s">
        <v>189</v>
      </c>
      <c r="C202" s="11">
        <f xml:space="preserve">      7950</f>
        <v>7950</v>
      </c>
      <c r="D202" s="11"/>
      <c r="E202" s="17"/>
      <c r="F202" s="12"/>
      <c r="G202" s="8">
        <f t="shared" si="3"/>
        <v>0</v>
      </c>
      <c r="H202" s="1"/>
    </row>
    <row r="203" spans="1:8" ht="15.75" customHeight="1">
      <c r="A203" s="6">
        <v>197</v>
      </c>
      <c r="B203" s="11" t="s">
        <v>190</v>
      </c>
      <c r="C203" s="11">
        <f xml:space="preserve">     54850</f>
        <v>54850</v>
      </c>
      <c r="D203" s="11"/>
      <c r="E203" s="17"/>
      <c r="F203" s="12"/>
      <c r="G203" s="8">
        <f t="shared" si="3"/>
        <v>0</v>
      </c>
      <c r="H203" s="1"/>
    </row>
    <row r="204" spans="1:8" ht="15.75" customHeight="1">
      <c r="A204" s="6">
        <v>198</v>
      </c>
      <c r="B204" s="11" t="s">
        <v>191</v>
      </c>
      <c r="C204" s="11">
        <f xml:space="preserve">     50100</f>
        <v>50100</v>
      </c>
      <c r="D204" s="11"/>
      <c r="E204" s="17"/>
      <c r="F204" s="12"/>
      <c r="G204" s="8">
        <f t="shared" si="3"/>
        <v>0</v>
      </c>
      <c r="H204" s="1"/>
    </row>
    <row r="205" spans="1:8" ht="15.75" customHeight="1">
      <c r="A205" s="6">
        <v>199</v>
      </c>
      <c r="B205" s="11" t="s">
        <v>192</v>
      </c>
      <c r="C205" s="11">
        <f xml:space="preserve">     19800</f>
        <v>19800</v>
      </c>
      <c r="D205" s="11"/>
      <c r="E205" s="17"/>
      <c r="F205" s="12"/>
      <c r="G205" s="8">
        <f t="shared" si="3"/>
        <v>0</v>
      </c>
      <c r="H205" s="1"/>
    </row>
    <row r="206" spans="1:8" ht="15.75" customHeight="1">
      <c r="A206" s="6">
        <v>200</v>
      </c>
      <c r="B206" s="11" t="s">
        <v>193</v>
      </c>
      <c r="C206" s="11">
        <f xml:space="preserve">     27350</f>
        <v>27350</v>
      </c>
      <c r="D206" s="11"/>
      <c r="E206" s="17"/>
      <c r="F206" s="12"/>
      <c r="G206" s="8">
        <f t="shared" si="3"/>
        <v>0</v>
      </c>
      <c r="H206" s="1"/>
    </row>
    <row r="207" spans="1:8" ht="15.75" customHeight="1">
      <c r="A207" s="6">
        <v>201</v>
      </c>
      <c r="B207" s="11" t="s">
        <v>194</v>
      </c>
      <c r="C207" s="11">
        <f xml:space="preserve">      1380</f>
        <v>1380</v>
      </c>
      <c r="D207" s="11"/>
      <c r="E207" s="17"/>
      <c r="F207" s="12"/>
      <c r="G207" s="8">
        <f t="shared" si="3"/>
        <v>0</v>
      </c>
      <c r="H207" s="1"/>
    </row>
    <row r="208" spans="1:8" ht="15.75" customHeight="1">
      <c r="A208" s="6">
        <v>202</v>
      </c>
      <c r="B208" s="11" t="s">
        <v>195</v>
      </c>
      <c r="C208" s="11">
        <f xml:space="preserve">      3000</f>
        <v>3000</v>
      </c>
      <c r="D208" s="11"/>
      <c r="E208" s="17"/>
      <c r="F208" s="12"/>
      <c r="G208" s="8">
        <f t="shared" si="3"/>
        <v>0</v>
      </c>
      <c r="H208" s="1"/>
    </row>
    <row r="209" spans="1:8" ht="15.75" customHeight="1">
      <c r="A209" s="6">
        <v>203</v>
      </c>
      <c r="B209" s="11" t="s">
        <v>195</v>
      </c>
      <c r="C209" s="11">
        <f xml:space="preserve">      3000</f>
        <v>3000</v>
      </c>
      <c r="D209" s="11"/>
      <c r="E209" s="17"/>
      <c r="F209" s="12"/>
      <c r="G209" s="8">
        <f t="shared" si="3"/>
        <v>0</v>
      </c>
      <c r="H209" s="1"/>
    </row>
    <row r="210" spans="1:8" ht="15.75" customHeight="1">
      <c r="A210" s="6">
        <v>204</v>
      </c>
      <c r="B210" s="11" t="s">
        <v>196</v>
      </c>
      <c r="C210" s="11">
        <f xml:space="preserve">     34100</f>
        <v>34100</v>
      </c>
      <c r="D210" s="11"/>
      <c r="E210" s="17"/>
      <c r="F210" s="12"/>
      <c r="G210" s="8">
        <f t="shared" si="3"/>
        <v>0</v>
      </c>
      <c r="H210" s="1"/>
    </row>
    <row r="211" spans="1:8" ht="15.75" customHeight="1">
      <c r="A211" s="6">
        <v>205</v>
      </c>
      <c r="B211" s="11" t="s">
        <v>197</v>
      </c>
      <c r="C211" s="11">
        <f xml:space="preserve">     34300</f>
        <v>34300</v>
      </c>
      <c r="D211" s="11"/>
      <c r="E211" s="17"/>
      <c r="F211" s="12"/>
      <c r="G211" s="8">
        <f t="shared" si="3"/>
        <v>0</v>
      </c>
      <c r="H211" s="1"/>
    </row>
    <row r="212" spans="1:8" ht="15.75" customHeight="1">
      <c r="A212" s="6">
        <v>206</v>
      </c>
      <c r="B212" s="11" t="s">
        <v>198</v>
      </c>
      <c r="C212" s="11">
        <f xml:space="preserve">     21800</f>
        <v>21800</v>
      </c>
      <c r="D212" s="11"/>
      <c r="E212" s="17"/>
      <c r="F212" s="12"/>
      <c r="G212" s="8">
        <f t="shared" si="3"/>
        <v>0</v>
      </c>
      <c r="H212" s="1"/>
    </row>
    <row r="213" spans="1:8" ht="15.75" customHeight="1">
      <c r="A213" s="6">
        <v>207</v>
      </c>
      <c r="B213" s="11" t="s">
        <v>199</v>
      </c>
      <c r="C213" s="11">
        <f xml:space="preserve">      5450</f>
        <v>5450</v>
      </c>
      <c r="D213" s="11"/>
      <c r="E213" s="17"/>
      <c r="F213" s="12"/>
      <c r="G213" s="8">
        <f t="shared" si="3"/>
        <v>0</v>
      </c>
      <c r="H213" s="1"/>
    </row>
    <row r="214" spans="1:8" ht="15.75" customHeight="1">
      <c r="A214" s="6">
        <v>208</v>
      </c>
      <c r="B214" s="11" t="s">
        <v>200</v>
      </c>
      <c r="C214" s="11">
        <f xml:space="preserve">      3300</f>
        <v>3300</v>
      </c>
      <c r="D214" s="11"/>
      <c r="E214" s="17"/>
      <c r="F214" s="12"/>
      <c r="G214" s="8">
        <f t="shared" si="3"/>
        <v>0</v>
      </c>
      <c r="H214" s="1"/>
    </row>
    <row r="215" spans="1:8" ht="15.75" customHeight="1">
      <c r="A215" s="6">
        <v>209</v>
      </c>
      <c r="B215" s="11" t="s">
        <v>201</v>
      </c>
      <c r="C215" s="11">
        <f xml:space="preserve">     49900</f>
        <v>49900</v>
      </c>
      <c r="D215" s="11"/>
      <c r="E215" s="17"/>
      <c r="F215" s="12"/>
      <c r="G215" s="8">
        <f t="shared" si="3"/>
        <v>0</v>
      </c>
      <c r="H215" s="1"/>
    </row>
    <row r="216" spans="1:8" ht="15.75" customHeight="1">
      <c r="A216" s="6">
        <v>210</v>
      </c>
      <c r="B216" s="11" t="s">
        <v>202</v>
      </c>
      <c r="C216" s="11">
        <f xml:space="preserve">     31900</f>
        <v>31900</v>
      </c>
      <c r="D216" s="11"/>
      <c r="E216" s="17"/>
      <c r="F216" s="12"/>
      <c r="G216" s="8">
        <f t="shared" si="3"/>
        <v>0</v>
      </c>
      <c r="H216" s="1"/>
    </row>
    <row r="217" spans="1:8" ht="15.75" customHeight="1">
      <c r="A217" s="6">
        <v>211</v>
      </c>
      <c r="B217" s="11" t="s">
        <v>203</v>
      </c>
      <c r="C217" s="11">
        <f xml:space="preserve">     55250</f>
        <v>55250</v>
      </c>
      <c r="D217" s="11"/>
      <c r="E217" s="17"/>
      <c r="F217" s="12"/>
      <c r="G217" s="8">
        <f t="shared" si="3"/>
        <v>0</v>
      </c>
      <c r="H217" s="1"/>
    </row>
    <row r="218" spans="1:8" ht="15.75" customHeight="1">
      <c r="A218" s="6">
        <v>212</v>
      </c>
      <c r="B218" s="11" t="s">
        <v>204</v>
      </c>
      <c r="C218" s="11">
        <f xml:space="preserve">      9050</f>
        <v>9050</v>
      </c>
      <c r="D218" s="11"/>
      <c r="E218" s="17"/>
      <c r="F218" s="12"/>
      <c r="G218" s="8">
        <f t="shared" si="3"/>
        <v>0</v>
      </c>
      <c r="H218" s="1"/>
    </row>
    <row r="219" spans="1:8" ht="15.75" customHeight="1">
      <c r="A219" s="6">
        <v>213</v>
      </c>
      <c r="B219" s="11" t="s">
        <v>205</v>
      </c>
      <c r="C219" s="11">
        <f xml:space="preserve">      5890</f>
        <v>5890</v>
      </c>
      <c r="D219" s="11"/>
      <c r="E219" s="17"/>
      <c r="F219" s="12"/>
      <c r="G219" s="8">
        <f t="shared" si="3"/>
        <v>0</v>
      </c>
      <c r="H219" s="1"/>
    </row>
    <row r="220" spans="1:8" ht="15.75" customHeight="1">
      <c r="A220" s="6">
        <v>214</v>
      </c>
      <c r="B220" s="11" t="s">
        <v>206</v>
      </c>
      <c r="C220" s="11">
        <f xml:space="preserve">     38100</f>
        <v>38100</v>
      </c>
      <c r="D220" s="11"/>
      <c r="E220" s="17"/>
      <c r="F220" s="12"/>
      <c r="G220" s="8">
        <f t="shared" si="3"/>
        <v>0</v>
      </c>
      <c r="H220" s="1"/>
    </row>
    <row r="221" spans="1:8" ht="15.75" customHeight="1">
      <c r="A221" s="6">
        <v>215</v>
      </c>
      <c r="B221" s="11" t="s">
        <v>207</v>
      </c>
      <c r="C221" s="11">
        <f xml:space="preserve">     50250</f>
        <v>50250</v>
      </c>
      <c r="D221" s="11"/>
      <c r="E221" s="17"/>
      <c r="F221" s="12"/>
      <c r="G221" s="8">
        <f t="shared" si="3"/>
        <v>0</v>
      </c>
      <c r="H221" s="1"/>
    </row>
    <row r="222" spans="1:8" ht="15.75" customHeight="1">
      <c r="A222" s="6">
        <v>216</v>
      </c>
      <c r="B222" s="11" t="s">
        <v>208</v>
      </c>
      <c r="C222" s="11">
        <f xml:space="preserve">      6750</f>
        <v>6750</v>
      </c>
      <c r="D222" s="11"/>
      <c r="E222" s="17"/>
      <c r="F222" s="12"/>
      <c r="G222" s="8">
        <f t="shared" si="3"/>
        <v>0</v>
      </c>
      <c r="H222" s="1"/>
    </row>
    <row r="223" spans="1:8" ht="15.75" customHeight="1">
      <c r="A223" s="6">
        <v>217</v>
      </c>
      <c r="B223" s="11" t="s">
        <v>208</v>
      </c>
      <c r="C223" s="11">
        <f xml:space="preserve">      6750</f>
        <v>6750</v>
      </c>
      <c r="D223" s="11"/>
      <c r="E223" s="17"/>
      <c r="F223" s="12"/>
      <c r="G223" s="8">
        <f t="shared" si="3"/>
        <v>0</v>
      </c>
      <c r="H223" s="1"/>
    </row>
    <row r="224" spans="1:8" ht="15.75" customHeight="1">
      <c r="A224" s="6">
        <v>218</v>
      </c>
      <c r="B224" s="11" t="s">
        <v>209</v>
      </c>
      <c r="C224" s="11">
        <f xml:space="preserve">     23850</f>
        <v>23850</v>
      </c>
      <c r="D224" s="11"/>
      <c r="E224" s="17"/>
      <c r="F224" s="12"/>
      <c r="G224" s="8">
        <f t="shared" si="3"/>
        <v>0</v>
      </c>
      <c r="H224" s="1"/>
    </row>
    <row r="225" spans="1:8" ht="15.75" customHeight="1">
      <c r="A225" s="6">
        <v>219</v>
      </c>
      <c r="B225" s="11" t="s">
        <v>210</v>
      </c>
      <c r="C225" s="11">
        <f xml:space="preserve">     40950</f>
        <v>40950</v>
      </c>
      <c r="D225" s="11"/>
      <c r="E225" s="17"/>
      <c r="F225" s="12"/>
      <c r="G225" s="8">
        <f t="shared" si="3"/>
        <v>0</v>
      </c>
      <c r="H225" s="1"/>
    </row>
    <row r="226" spans="1:8" ht="15.75" customHeight="1">
      <c r="A226" s="6">
        <v>220</v>
      </c>
      <c r="B226" s="11" t="s">
        <v>211</v>
      </c>
      <c r="C226" s="11">
        <f xml:space="preserve">     69850</f>
        <v>69850</v>
      </c>
      <c r="D226" s="11"/>
      <c r="E226" s="17"/>
      <c r="F226" s="12"/>
      <c r="G226" s="8">
        <f t="shared" si="3"/>
        <v>0</v>
      </c>
      <c r="H226" s="1"/>
    </row>
    <row r="227" spans="1:8" ht="15.75" customHeight="1">
      <c r="A227" s="6">
        <v>221</v>
      </c>
      <c r="B227" s="11" t="s">
        <v>212</v>
      </c>
      <c r="C227" s="11">
        <f xml:space="preserve">     62900</f>
        <v>62900</v>
      </c>
      <c r="D227" s="11"/>
      <c r="E227" s="17"/>
      <c r="F227" s="12"/>
      <c r="G227" s="8">
        <f t="shared" si="3"/>
        <v>0</v>
      </c>
      <c r="H227" s="1"/>
    </row>
    <row r="228" spans="1:8" ht="15.75" customHeight="1">
      <c r="A228" s="6">
        <v>222</v>
      </c>
      <c r="B228" s="11" t="s">
        <v>212</v>
      </c>
      <c r="C228" s="11">
        <f xml:space="preserve">     62900</f>
        <v>62900</v>
      </c>
      <c r="D228" s="11"/>
      <c r="E228" s="17"/>
      <c r="F228" s="12"/>
      <c r="G228" s="8">
        <f t="shared" si="3"/>
        <v>0</v>
      </c>
      <c r="H228" s="1"/>
    </row>
    <row r="229" spans="1:8" ht="15.75" customHeight="1">
      <c r="A229" s="6">
        <v>223</v>
      </c>
      <c r="B229" s="11" t="s">
        <v>213</v>
      </c>
      <c r="C229" s="11">
        <f xml:space="preserve">     63850</f>
        <v>63850</v>
      </c>
      <c r="D229" s="11"/>
      <c r="E229" s="17"/>
      <c r="F229" s="12"/>
      <c r="G229" s="8">
        <f t="shared" si="3"/>
        <v>0</v>
      </c>
      <c r="H229" s="1"/>
    </row>
    <row r="230" spans="1:8" ht="15.75" customHeight="1">
      <c r="A230" s="6">
        <v>224</v>
      </c>
      <c r="B230" s="11" t="s">
        <v>214</v>
      </c>
      <c r="C230" s="11">
        <f xml:space="preserve">     31450</f>
        <v>31450</v>
      </c>
      <c r="D230" s="11"/>
      <c r="E230" s="17"/>
      <c r="F230" s="12"/>
      <c r="G230" s="8">
        <f t="shared" si="3"/>
        <v>0</v>
      </c>
      <c r="H230" s="1"/>
    </row>
    <row r="231" spans="1:8" ht="15.75" customHeight="1">
      <c r="A231" s="6">
        <v>225</v>
      </c>
      <c r="B231" s="11" t="s">
        <v>215</v>
      </c>
      <c r="C231" s="11">
        <f xml:space="preserve">     36600</f>
        <v>36600</v>
      </c>
      <c r="D231" s="11"/>
      <c r="E231" s="17"/>
      <c r="F231" s="12"/>
      <c r="G231" s="8">
        <f t="shared" si="3"/>
        <v>0</v>
      </c>
      <c r="H231" s="1"/>
    </row>
    <row r="232" spans="1:8" ht="15.75" customHeight="1">
      <c r="A232" s="6">
        <v>226</v>
      </c>
      <c r="B232" s="11" t="s">
        <v>216</v>
      </c>
      <c r="C232" s="11">
        <f xml:space="preserve">     21400</f>
        <v>21400</v>
      </c>
      <c r="D232" s="11"/>
      <c r="E232" s="17"/>
      <c r="F232" s="12"/>
      <c r="G232" s="8">
        <f t="shared" si="3"/>
        <v>0</v>
      </c>
      <c r="H232" s="1"/>
    </row>
    <row r="233" spans="1:8" ht="15.75" customHeight="1">
      <c r="A233" s="6">
        <v>227</v>
      </c>
      <c r="B233" s="11" t="s">
        <v>217</v>
      </c>
      <c r="C233" s="11">
        <f xml:space="preserve">     44000</f>
        <v>44000</v>
      </c>
      <c r="D233" s="11"/>
      <c r="E233" s="17"/>
      <c r="F233" s="12"/>
      <c r="G233" s="8">
        <f t="shared" si="3"/>
        <v>0</v>
      </c>
      <c r="H233" s="1"/>
    </row>
    <row r="234" spans="1:8" ht="15.75" customHeight="1">
      <c r="A234" s="6">
        <v>228</v>
      </c>
      <c r="B234" s="11" t="s">
        <v>218</v>
      </c>
      <c r="C234" s="11">
        <f xml:space="preserve">    135300</f>
        <v>135300</v>
      </c>
      <c r="D234" s="11"/>
      <c r="E234" s="17"/>
      <c r="F234" s="12"/>
      <c r="G234" s="8">
        <f t="shared" si="3"/>
        <v>0</v>
      </c>
      <c r="H234" s="1"/>
    </row>
    <row r="235" spans="1:8" ht="15.75" customHeight="1">
      <c r="A235" s="6">
        <v>229</v>
      </c>
      <c r="B235" s="11" t="s">
        <v>219</v>
      </c>
      <c r="C235" s="11">
        <f xml:space="preserve">     24750</f>
        <v>24750</v>
      </c>
      <c r="D235" s="11"/>
      <c r="E235" s="17"/>
      <c r="F235" s="12"/>
      <c r="G235" s="8">
        <f t="shared" si="3"/>
        <v>0</v>
      </c>
      <c r="H235" s="1"/>
    </row>
    <row r="236" spans="1:8" ht="15.75" customHeight="1">
      <c r="A236" s="6">
        <v>230</v>
      </c>
      <c r="B236" s="11" t="s">
        <v>220</v>
      </c>
      <c r="C236" s="11">
        <f xml:space="preserve">     43000</f>
        <v>43000</v>
      </c>
      <c r="D236" s="11"/>
      <c r="E236" s="17"/>
      <c r="F236" s="12"/>
      <c r="G236" s="8">
        <f t="shared" si="3"/>
        <v>0</v>
      </c>
      <c r="H236" s="1"/>
    </row>
    <row r="237" spans="1:8" ht="15.75" customHeight="1">
      <c r="A237" s="6">
        <v>231</v>
      </c>
      <c r="B237" s="11" t="s">
        <v>221</v>
      </c>
      <c r="C237" s="11">
        <f xml:space="preserve">     46500</f>
        <v>46500</v>
      </c>
      <c r="D237" s="11"/>
      <c r="E237" s="17"/>
      <c r="F237" s="12"/>
      <c r="G237" s="8">
        <f t="shared" si="3"/>
        <v>0</v>
      </c>
      <c r="H237" s="1"/>
    </row>
    <row r="238" spans="1:8" ht="15.75" customHeight="1">
      <c r="A238" s="6">
        <v>232</v>
      </c>
      <c r="B238" s="11" t="s">
        <v>222</v>
      </c>
      <c r="C238" s="11">
        <f xml:space="preserve">    105050</f>
        <v>105050</v>
      </c>
      <c r="D238" s="11"/>
      <c r="E238" s="17"/>
      <c r="F238" s="12"/>
      <c r="G238" s="8">
        <f t="shared" si="3"/>
        <v>0</v>
      </c>
      <c r="H238" s="1"/>
    </row>
    <row r="239" spans="1:8" ht="15.75" customHeight="1">
      <c r="A239" s="6">
        <v>233</v>
      </c>
      <c r="B239" s="11" t="s">
        <v>2459</v>
      </c>
      <c r="C239" s="11">
        <f xml:space="preserve">     42800</f>
        <v>42800</v>
      </c>
      <c r="D239" s="11"/>
      <c r="E239" s="17"/>
      <c r="F239" s="12"/>
      <c r="G239" s="8">
        <f t="shared" si="3"/>
        <v>0</v>
      </c>
      <c r="H239" s="1"/>
    </row>
    <row r="240" spans="1:8" ht="15.75" customHeight="1">
      <c r="A240" s="6">
        <v>234</v>
      </c>
      <c r="B240" s="11" t="s">
        <v>223</v>
      </c>
      <c r="C240" s="11">
        <f xml:space="preserve">     37850</f>
        <v>37850</v>
      </c>
      <c r="D240" s="11"/>
      <c r="E240" s="17"/>
      <c r="F240" s="12"/>
      <c r="G240" s="8">
        <f t="shared" si="3"/>
        <v>0</v>
      </c>
      <c r="H240" s="1"/>
    </row>
    <row r="241" spans="1:8" ht="15.75" customHeight="1">
      <c r="A241" s="6">
        <v>235</v>
      </c>
      <c r="B241" s="11" t="s">
        <v>224</v>
      </c>
      <c r="C241" s="11">
        <f xml:space="preserve">     48350</f>
        <v>48350</v>
      </c>
      <c r="D241" s="11"/>
      <c r="E241" s="17"/>
      <c r="F241" s="12"/>
      <c r="G241" s="8">
        <f t="shared" si="3"/>
        <v>0</v>
      </c>
      <c r="H241" s="1"/>
    </row>
    <row r="242" spans="1:8" ht="15.75" customHeight="1">
      <c r="A242" s="6">
        <v>236</v>
      </c>
      <c r="B242" s="11" t="s">
        <v>225</v>
      </c>
      <c r="C242" s="11">
        <f xml:space="preserve">     12650</f>
        <v>12650</v>
      </c>
      <c r="D242" s="11"/>
      <c r="E242" s="17"/>
      <c r="F242" s="12"/>
      <c r="G242" s="8">
        <f t="shared" si="3"/>
        <v>0</v>
      </c>
      <c r="H242" s="1"/>
    </row>
    <row r="243" spans="1:8" ht="15.75" customHeight="1">
      <c r="A243" s="6">
        <v>237</v>
      </c>
      <c r="B243" s="11" t="s">
        <v>226</v>
      </c>
      <c r="C243" s="11">
        <f xml:space="preserve">     18700</f>
        <v>18700</v>
      </c>
      <c r="D243" s="11"/>
      <c r="E243" s="17"/>
      <c r="F243" s="12"/>
      <c r="G243" s="8">
        <f t="shared" si="3"/>
        <v>0</v>
      </c>
      <c r="H243" s="1"/>
    </row>
    <row r="244" spans="1:8" ht="15.75" customHeight="1">
      <c r="A244" s="6">
        <v>238</v>
      </c>
      <c r="B244" s="11" t="s">
        <v>227</v>
      </c>
      <c r="C244" s="11">
        <f xml:space="preserve">     59950</f>
        <v>59950</v>
      </c>
      <c r="D244" s="11"/>
      <c r="E244" s="17"/>
      <c r="F244" s="12"/>
      <c r="G244" s="8">
        <f t="shared" si="3"/>
        <v>0</v>
      </c>
      <c r="H244" s="1"/>
    </row>
    <row r="245" spans="1:8" ht="15.75" customHeight="1">
      <c r="A245" s="6">
        <v>239</v>
      </c>
      <c r="B245" s="11" t="s">
        <v>228</v>
      </c>
      <c r="C245" s="11">
        <f xml:space="preserve">     36300</f>
        <v>36300</v>
      </c>
      <c r="D245" s="11"/>
      <c r="E245" s="17"/>
      <c r="F245" s="12"/>
      <c r="G245" s="8">
        <f t="shared" si="3"/>
        <v>0</v>
      </c>
      <c r="H245" s="1"/>
    </row>
    <row r="246" spans="1:8" ht="15.75" customHeight="1">
      <c r="A246" s="6">
        <v>240</v>
      </c>
      <c r="B246" s="11" t="s">
        <v>229</v>
      </c>
      <c r="C246" s="11">
        <f xml:space="preserve">     57500</f>
        <v>57500</v>
      </c>
      <c r="D246" s="11"/>
      <c r="E246" s="17"/>
      <c r="F246" s="12"/>
      <c r="G246" s="8">
        <f t="shared" si="3"/>
        <v>0</v>
      </c>
      <c r="H246" s="1"/>
    </row>
    <row r="247" spans="1:8" ht="15.75" customHeight="1">
      <c r="A247" s="6">
        <v>241</v>
      </c>
      <c r="B247" s="11" t="s">
        <v>230</v>
      </c>
      <c r="C247" s="11">
        <f xml:space="preserve">     60500</f>
        <v>60500</v>
      </c>
      <c r="D247" s="11"/>
      <c r="E247" s="17"/>
      <c r="F247" s="12"/>
      <c r="G247" s="8">
        <f t="shared" si="3"/>
        <v>0</v>
      </c>
      <c r="H247" s="1"/>
    </row>
    <row r="248" spans="1:8" ht="15.75" customHeight="1">
      <c r="A248" s="6">
        <v>242</v>
      </c>
      <c r="B248" s="11" t="s">
        <v>231</v>
      </c>
      <c r="C248" s="11">
        <f xml:space="preserve">      1900</f>
        <v>1900</v>
      </c>
      <c r="D248" s="11"/>
      <c r="E248" s="17"/>
      <c r="F248" s="12"/>
      <c r="G248" s="8">
        <f t="shared" si="3"/>
        <v>0</v>
      </c>
      <c r="H248" s="1"/>
    </row>
    <row r="249" spans="1:8" ht="15.75" customHeight="1">
      <c r="A249" s="6">
        <v>243</v>
      </c>
      <c r="B249" s="11" t="s">
        <v>2460</v>
      </c>
      <c r="C249" s="11">
        <f xml:space="preserve">      1900</f>
        <v>1900</v>
      </c>
      <c r="D249" s="11"/>
      <c r="E249" s="17"/>
      <c r="F249" s="12"/>
      <c r="G249" s="8">
        <f t="shared" si="3"/>
        <v>0</v>
      </c>
      <c r="H249" s="1"/>
    </row>
    <row r="250" spans="1:8" ht="15.75" customHeight="1">
      <c r="A250" s="6">
        <v>244</v>
      </c>
      <c r="B250" s="11" t="s">
        <v>232</v>
      </c>
      <c r="C250" s="11">
        <f xml:space="preserve">    119800</f>
        <v>119800</v>
      </c>
      <c r="D250" s="11"/>
      <c r="E250" s="17"/>
      <c r="F250" s="12"/>
      <c r="G250" s="8">
        <f t="shared" si="3"/>
        <v>0</v>
      </c>
      <c r="H250" s="1"/>
    </row>
    <row r="251" spans="1:8" ht="15.75" customHeight="1">
      <c r="A251" s="6">
        <v>245</v>
      </c>
      <c r="B251" s="11" t="s">
        <v>233</v>
      </c>
      <c r="C251" s="11">
        <f xml:space="preserve">      1635</f>
        <v>1635</v>
      </c>
      <c r="D251" s="11"/>
      <c r="E251" s="17"/>
      <c r="F251" s="12"/>
      <c r="G251" s="8">
        <f t="shared" si="3"/>
        <v>0</v>
      </c>
      <c r="H251" s="1"/>
    </row>
    <row r="252" spans="1:8" ht="15.75" customHeight="1">
      <c r="A252" s="6">
        <v>246</v>
      </c>
      <c r="B252" s="11" t="s">
        <v>234</v>
      </c>
      <c r="C252" s="11">
        <f xml:space="preserve">      1060</f>
        <v>1060</v>
      </c>
      <c r="D252" s="11"/>
      <c r="E252" s="17"/>
      <c r="F252" s="12"/>
      <c r="G252" s="8">
        <f t="shared" si="3"/>
        <v>0</v>
      </c>
      <c r="H252" s="1"/>
    </row>
    <row r="253" spans="1:8" ht="15.75" customHeight="1">
      <c r="A253" s="6">
        <v>247</v>
      </c>
      <c r="B253" s="11" t="s">
        <v>235</v>
      </c>
      <c r="C253" s="11">
        <f xml:space="preserve">     33300</f>
        <v>33300</v>
      </c>
      <c r="D253" s="11"/>
      <c r="E253" s="17"/>
      <c r="F253" s="12"/>
      <c r="G253" s="8">
        <f t="shared" si="3"/>
        <v>0</v>
      </c>
      <c r="H253" s="1"/>
    </row>
    <row r="254" spans="1:8" ht="15.75" customHeight="1">
      <c r="A254" s="6">
        <v>248</v>
      </c>
      <c r="B254" s="11" t="s">
        <v>236</v>
      </c>
      <c r="C254" s="11">
        <f xml:space="preserve">      1450</f>
        <v>1450</v>
      </c>
      <c r="D254" s="11"/>
      <c r="E254" s="17"/>
      <c r="F254" s="12"/>
      <c r="G254" s="8">
        <f t="shared" si="3"/>
        <v>0</v>
      </c>
      <c r="H254" s="1"/>
    </row>
    <row r="255" spans="1:8" ht="15.75" customHeight="1">
      <c r="A255" s="6">
        <v>249</v>
      </c>
      <c r="B255" s="11" t="s">
        <v>236</v>
      </c>
      <c r="C255" s="11">
        <f xml:space="preserve">      1425</f>
        <v>1425</v>
      </c>
      <c r="D255" s="11"/>
      <c r="E255" s="17"/>
      <c r="F255" s="12"/>
      <c r="G255" s="8">
        <f t="shared" si="3"/>
        <v>0</v>
      </c>
      <c r="H255" s="1"/>
    </row>
    <row r="256" spans="1:8" ht="15.75" customHeight="1">
      <c r="A256" s="6">
        <v>250</v>
      </c>
      <c r="B256" s="11" t="s">
        <v>237</v>
      </c>
      <c r="C256" s="11">
        <f xml:space="preserve">      1200</f>
        <v>1200</v>
      </c>
      <c r="D256" s="11"/>
      <c r="E256" s="17"/>
      <c r="F256" s="12"/>
      <c r="G256" s="8">
        <f t="shared" si="3"/>
        <v>0</v>
      </c>
      <c r="H256" s="1"/>
    </row>
    <row r="257" spans="1:8" ht="15.75" customHeight="1">
      <c r="A257" s="6">
        <v>251</v>
      </c>
      <c r="B257" s="11" t="s">
        <v>238</v>
      </c>
      <c r="C257" s="11">
        <f xml:space="preserve">      6400</f>
        <v>6400</v>
      </c>
      <c r="D257" s="11"/>
      <c r="E257" s="17"/>
      <c r="F257" s="12"/>
      <c r="G257" s="8">
        <f t="shared" si="3"/>
        <v>0</v>
      </c>
      <c r="H257" s="1"/>
    </row>
    <row r="258" spans="1:8" ht="15.75" customHeight="1">
      <c r="A258" s="6">
        <v>252</v>
      </c>
      <c r="B258" s="11" t="s">
        <v>239</v>
      </c>
      <c r="C258" s="11">
        <f xml:space="preserve">     51850</f>
        <v>51850</v>
      </c>
      <c r="D258" s="11"/>
      <c r="E258" s="17"/>
      <c r="F258" s="12"/>
      <c r="G258" s="8">
        <f t="shared" si="3"/>
        <v>0</v>
      </c>
      <c r="H258" s="1"/>
    </row>
    <row r="259" spans="1:8" ht="15.75" customHeight="1">
      <c r="A259" s="6">
        <v>253</v>
      </c>
      <c r="B259" s="11" t="s">
        <v>240</v>
      </c>
      <c r="C259" s="11">
        <f xml:space="preserve">     78500</f>
        <v>78500</v>
      </c>
      <c r="D259" s="11"/>
      <c r="E259" s="17"/>
      <c r="F259" s="12"/>
      <c r="G259" s="8">
        <f t="shared" si="3"/>
        <v>0</v>
      </c>
      <c r="H259" s="1"/>
    </row>
    <row r="260" spans="1:8" ht="15.75" customHeight="1">
      <c r="A260" s="6">
        <v>254</v>
      </c>
      <c r="B260" s="11" t="s">
        <v>241</v>
      </c>
      <c r="C260" s="11">
        <f xml:space="preserve">     44100</f>
        <v>44100</v>
      </c>
      <c r="D260" s="11"/>
      <c r="E260" s="17"/>
      <c r="F260" s="12"/>
      <c r="G260" s="8">
        <f t="shared" si="3"/>
        <v>0</v>
      </c>
      <c r="H260" s="1"/>
    </row>
    <row r="261" spans="1:8" ht="15.75" customHeight="1">
      <c r="A261" s="6">
        <v>255</v>
      </c>
      <c r="B261" s="11" t="s">
        <v>242</v>
      </c>
      <c r="C261" s="11">
        <f xml:space="preserve">     39250</f>
        <v>39250</v>
      </c>
      <c r="D261" s="11"/>
      <c r="E261" s="17"/>
      <c r="F261" s="12"/>
      <c r="G261" s="8">
        <f t="shared" si="3"/>
        <v>0</v>
      </c>
      <c r="H261" s="1"/>
    </row>
    <row r="262" spans="1:8" ht="15.75" customHeight="1">
      <c r="A262" s="6">
        <v>256</v>
      </c>
      <c r="B262" s="11" t="s">
        <v>243</v>
      </c>
      <c r="C262" s="11">
        <f xml:space="preserve">     55700</f>
        <v>55700</v>
      </c>
      <c r="D262" s="11"/>
      <c r="E262" s="17"/>
      <c r="F262" s="12"/>
      <c r="G262" s="8">
        <f t="shared" si="3"/>
        <v>0</v>
      </c>
      <c r="H262" s="1"/>
    </row>
    <row r="263" spans="1:8" ht="15.75" customHeight="1">
      <c r="A263" s="6">
        <v>257</v>
      </c>
      <c r="B263" s="11" t="s">
        <v>244</v>
      </c>
      <c r="C263" s="11">
        <f xml:space="preserve">     46550</f>
        <v>46550</v>
      </c>
      <c r="D263" s="11"/>
      <c r="E263" s="17"/>
      <c r="F263" s="12"/>
      <c r="G263" s="8">
        <f t="shared" ref="G263:G325" si="4">C263*D263+E263*F263</f>
        <v>0</v>
      </c>
      <c r="H263" s="1"/>
    </row>
    <row r="264" spans="1:8" ht="15.75" customHeight="1">
      <c r="A264" s="6">
        <v>258</v>
      </c>
      <c r="B264" s="11" t="s">
        <v>245</v>
      </c>
      <c r="C264" s="11">
        <f xml:space="preserve">      3550</f>
        <v>3550</v>
      </c>
      <c r="D264" s="11"/>
      <c r="E264" s="17"/>
      <c r="F264" s="12"/>
      <c r="G264" s="8">
        <f t="shared" si="4"/>
        <v>0</v>
      </c>
      <c r="H264" s="1"/>
    </row>
    <row r="265" spans="1:8" ht="15.75" customHeight="1">
      <c r="A265" s="6">
        <v>259</v>
      </c>
      <c r="B265" s="11" t="s">
        <v>246</v>
      </c>
      <c r="C265" s="11">
        <f xml:space="preserve">      2650</f>
        <v>2650</v>
      </c>
      <c r="D265" s="11"/>
      <c r="E265" s="17"/>
      <c r="F265" s="12"/>
      <c r="G265" s="8">
        <f t="shared" si="4"/>
        <v>0</v>
      </c>
      <c r="H265" s="1"/>
    </row>
    <row r="266" spans="1:8" ht="15.75" customHeight="1">
      <c r="A266" s="6">
        <v>260</v>
      </c>
      <c r="B266" s="11" t="s">
        <v>247</v>
      </c>
      <c r="C266" s="11">
        <f xml:space="preserve">     40550</f>
        <v>40550</v>
      </c>
      <c r="D266" s="11"/>
      <c r="E266" s="17"/>
      <c r="F266" s="12"/>
      <c r="G266" s="8">
        <f t="shared" si="4"/>
        <v>0</v>
      </c>
      <c r="H266" s="1"/>
    </row>
    <row r="267" spans="1:8" ht="15.75" customHeight="1">
      <c r="A267" s="6">
        <v>261</v>
      </c>
      <c r="B267" s="11" t="s">
        <v>248</v>
      </c>
      <c r="C267" s="11">
        <f xml:space="preserve">     36750</f>
        <v>36750</v>
      </c>
      <c r="D267" s="11"/>
      <c r="E267" s="17"/>
      <c r="F267" s="12"/>
      <c r="G267" s="8">
        <f t="shared" si="4"/>
        <v>0</v>
      </c>
      <c r="H267" s="1"/>
    </row>
    <row r="268" spans="1:8" ht="15.75" customHeight="1">
      <c r="A268" s="6">
        <v>262</v>
      </c>
      <c r="B268" s="11" t="s">
        <v>249</v>
      </c>
      <c r="C268" s="11">
        <f xml:space="preserve">     58550</f>
        <v>58550</v>
      </c>
      <c r="D268" s="11"/>
      <c r="E268" s="17"/>
      <c r="F268" s="12"/>
      <c r="G268" s="8">
        <f t="shared" si="4"/>
        <v>0</v>
      </c>
      <c r="H268" s="1"/>
    </row>
    <row r="269" spans="1:8" ht="15.75" customHeight="1">
      <c r="A269" s="6">
        <v>263</v>
      </c>
      <c r="B269" s="11" t="s">
        <v>250</v>
      </c>
      <c r="C269" s="11">
        <f xml:space="preserve">     29100</f>
        <v>29100</v>
      </c>
      <c r="D269" s="11"/>
      <c r="E269" s="17"/>
      <c r="F269" s="12"/>
      <c r="G269" s="8">
        <f t="shared" si="4"/>
        <v>0</v>
      </c>
      <c r="H269" s="1"/>
    </row>
    <row r="270" spans="1:8" ht="15.75" customHeight="1">
      <c r="A270" s="6">
        <v>264</v>
      </c>
      <c r="B270" s="11" t="s">
        <v>251</v>
      </c>
      <c r="C270" s="11">
        <f xml:space="preserve">     42700</f>
        <v>42700</v>
      </c>
      <c r="D270" s="11"/>
      <c r="E270" s="17"/>
      <c r="F270" s="12"/>
      <c r="G270" s="8">
        <f t="shared" si="4"/>
        <v>0</v>
      </c>
      <c r="H270" s="1"/>
    </row>
    <row r="271" spans="1:8" ht="15.75" customHeight="1">
      <c r="A271" s="6">
        <v>265</v>
      </c>
      <c r="B271" s="11" t="s">
        <v>252</v>
      </c>
      <c r="C271" s="11">
        <f xml:space="preserve">     52850</f>
        <v>52850</v>
      </c>
      <c r="D271" s="11"/>
      <c r="E271" s="17"/>
      <c r="F271" s="12"/>
      <c r="G271" s="8">
        <f t="shared" si="4"/>
        <v>0</v>
      </c>
      <c r="H271" s="1"/>
    </row>
    <row r="272" spans="1:8" ht="15.75" customHeight="1">
      <c r="A272" s="6">
        <v>266</v>
      </c>
      <c r="B272" s="11" t="s">
        <v>253</v>
      </c>
      <c r="C272" s="11">
        <f xml:space="preserve">     91300</f>
        <v>91300</v>
      </c>
      <c r="D272" s="11"/>
      <c r="E272" s="17"/>
      <c r="F272" s="12"/>
      <c r="G272" s="8">
        <f t="shared" si="4"/>
        <v>0</v>
      </c>
      <c r="H272" s="1"/>
    </row>
    <row r="273" spans="1:8" ht="15.75" customHeight="1">
      <c r="A273" s="6">
        <v>267</v>
      </c>
      <c r="B273" s="11" t="s">
        <v>254</v>
      </c>
      <c r="C273" s="11">
        <f xml:space="preserve">    138650</f>
        <v>138650</v>
      </c>
      <c r="D273" s="11"/>
      <c r="E273" s="17"/>
      <c r="F273" s="12"/>
      <c r="G273" s="8">
        <f t="shared" si="4"/>
        <v>0</v>
      </c>
      <c r="H273" s="1"/>
    </row>
    <row r="274" spans="1:8" ht="15.75" customHeight="1">
      <c r="A274" s="6">
        <v>268</v>
      </c>
      <c r="B274" s="11" t="s">
        <v>255</v>
      </c>
      <c r="C274" s="11">
        <f xml:space="preserve">     23650</f>
        <v>23650</v>
      </c>
      <c r="D274" s="11"/>
      <c r="E274" s="17"/>
      <c r="F274" s="12"/>
      <c r="G274" s="8">
        <f t="shared" si="4"/>
        <v>0</v>
      </c>
      <c r="H274" s="1"/>
    </row>
    <row r="275" spans="1:8" ht="15.75" customHeight="1">
      <c r="A275" s="6">
        <v>269</v>
      </c>
      <c r="B275" s="11" t="s">
        <v>256</v>
      </c>
      <c r="C275" s="11">
        <f xml:space="preserve">      4100</f>
        <v>4100</v>
      </c>
      <c r="D275" s="11"/>
      <c r="E275" s="17"/>
      <c r="F275" s="12"/>
      <c r="G275" s="8">
        <f t="shared" si="4"/>
        <v>0</v>
      </c>
      <c r="H275" s="1"/>
    </row>
    <row r="276" spans="1:8" ht="15.75" customHeight="1">
      <c r="A276" s="6">
        <v>270</v>
      </c>
      <c r="B276" s="11" t="s">
        <v>257</v>
      </c>
      <c r="C276" s="11">
        <f xml:space="preserve">     49500</f>
        <v>49500</v>
      </c>
      <c r="D276" s="11"/>
      <c r="E276" s="17"/>
      <c r="F276" s="12"/>
      <c r="G276" s="8">
        <f t="shared" si="4"/>
        <v>0</v>
      </c>
      <c r="H276" s="1"/>
    </row>
    <row r="277" spans="1:8" ht="15.75" customHeight="1">
      <c r="A277" s="6">
        <v>271</v>
      </c>
      <c r="B277" s="11" t="s">
        <v>258</v>
      </c>
      <c r="C277" s="11">
        <f xml:space="preserve">     55100</f>
        <v>55100</v>
      </c>
      <c r="D277" s="11"/>
      <c r="E277" s="17"/>
      <c r="F277" s="12"/>
      <c r="G277" s="8">
        <f t="shared" si="4"/>
        <v>0</v>
      </c>
      <c r="H277" s="1"/>
    </row>
    <row r="278" spans="1:8" ht="15.75" customHeight="1">
      <c r="A278" s="6">
        <v>272</v>
      </c>
      <c r="B278" s="11" t="s">
        <v>259</v>
      </c>
      <c r="C278" s="11">
        <f xml:space="preserve">     53100</f>
        <v>53100</v>
      </c>
      <c r="D278" s="11"/>
      <c r="E278" s="17"/>
      <c r="F278" s="12"/>
      <c r="G278" s="8">
        <f t="shared" si="4"/>
        <v>0</v>
      </c>
      <c r="H278" s="1"/>
    </row>
    <row r="279" spans="1:8" ht="15.75" customHeight="1">
      <c r="A279" s="6">
        <v>273</v>
      </c>
      <c r="B279" s="11" t="s">
        <v>260</v>
      </c>
      <c r="C279" s="11">
        <f xml:space="preserve">     88700</f>
        <v>88700</v>
      </c>
      <c r="D279" s="11"/>
      <c r="E279" s="17"/>
      <c r="F279" s="12"/>
      <c r="G279" s="8">
        <f t="shared" si="4"/>
        <v>0</v>
      </c>
      <c r="H279" s="1"/>
    </row>
    <row r="280" spans="1:8" ht="15.75" customHeight="1">
      <c r="A280" s="6">
        <v>274</v>
      </c>
      <c r="B280" s="11" t="s">
        <v>261</v>
      </c>
      <c r="C280" s="11">
        <f xml:space="preserve">     11100</f>
        <v>11100</v>
      </c>
      <c r="D280" s="11"/>
      <c r="E280" s="17"/>
      <c r="F280" s="12"/>
      <c r="G280" s="8">
        <f t="shared" si="4"/>
        <v>0</v>
      </c>
      <c r="H280" s="1"/>
    </row>
    <row r="281" spans="1:8" ht="15.75" customHeight="1">
      <c r="A281" s="6">
        <v>275</v>
      </c>
      <c r="B281" s="11" t="s">
        <v>262</v>
      </c>
      <c r="C281" s="11">
        <f xml:space="preserve">     13300</f>
        <v>13300</v>
      </c>
      <c r="D281" s="11"/>
      <c r="E281" s="17"/>
      <c r="F281" s="12"/>
      <c r="G281" s="8">
        <f t="shared" si="4"/>
        <v>0</v>
      </c>
      <c r="H281" s="1"/>
    </row>
    <row r="282" spans="1:8" ht="15.75" customHeight="1">
      <c r="A282" s="6">
        <v>276</v>
      </c>
      <c r="B282" s="11" t="s">
        <v>263</v>
      </c>
      <c r="C282" s="11">
        <f xml:space="preserve">      2850</f>
        <v>2850</v>
      </c>
      <c r="D282" s="11"/>
      <c r="E282" s="17"/>
      <c r="F282" s="12"/>
      <c r="G282" s="8">
        <f t="shared" si="4"/>
        <v>0</v>
      </c>
      <c r="H282" s="1"/>
    </row>
    <row r="283" spans="1:8" ht="15.75" customHeight="1">
      <c r="A283" s="6">
        <v>278</v>
      </c>
      <c r="B283" s="11" t="s">
        <v>264</v>
      </c>
      <c r="C283" s="11">
        <f xml:space="preserve">      2570</f>
        <v>2570</v>
      </c>
      <c r="D283" s="11"/>
      <c r="E283" s="17"/>
      <c r="F283" s="12"/>
      <c r="G283" s="8">
        <f t="shared" si="4"/>
        <v>0</v>
      </c>
      <c r="H283" s="1"/>
    </row>
    <row r="284" spans="1:8" ht="15.75" customHeight="1">
      <c r="A284" s="6">
        <v>279</v>
      </c>
      <c r="B284" s="11" t="s">
        <v>265</v>
      </c>
      <c r="C284" s="11">
        <f xml:space="preserve">      1160</f>
        <v>1160</v>
      </c>
      <c r="D284" s="11"/>
      <c r="E284" s="17"/>
      <c r="F284" s="12"/>
      <c r="G284" s="8">
        <f t="shared" si="4"/>
        <v>0</v>
      </c>
      <c r="H284" s="1"/>
    </row>
    <row r="285" spans="1:8" ht="15.75" customHeight="1">
      <c r="A285" s="6">
        <v>280</v>
      </c>
      <c r="B285" s="11" t="s">
        <v>265</v>
      </c>
      <c r="C285" s="11">
        <f xml:space="preserve">      1160</f>
        <v>1160</v>
      </c>
      <c r="D285" s="11"/>
      <c r="E285" s="17"/>
      <c r="F285" s="12"/>
      <c r="G285" s="8">
        <f t="shared" si="4"/>
        <v>0</v>
      </c>
      <c r="H285" s="1"/>
    </row>
    <row r="286" spans="1:8" ht="15.75" customHeight="1">
      <c r="A286" s="6">
        <v>281</v>
      </c>
      <c r="B286" s="11" t="s">
        <v>266</v>
      </c>
      <c r="C286" s="11">
        <f xml:space="preserve">     14950</f>
        <v>14950</v>
      </c>
      <c r="D286" s="11"/>
      <c r="E286" s="17"/>
      <c r="F286" s="12"/>
      <c r="G286" s="8">
        <f t="shared" si="4"/>
        <v>0</v>
      </c>
      <c r="H286" s="1"/>
    </row>
    <row r="287" spans="1:8" ht="15.75" customHeight="1">
      <c r="A287" s="6">
        <v>282</v>
      </c>
      <c r="B287" s="11" t="s">
        <v>267</v>
      </c>
      <c r="C287" s="11">
        <f xml:space="preserve">     49000</f>
        <v>49000</v>
      </c>
      <c r="D287" s="11"/>
      <c r="E287" s="17"/>
      <c r="F287" s="12"/>
      <c r="G287" s="8">
        <f t="shared" si="4"/>
        <v>0</v>
      </c>
      <c r="H287" s="1"/>
    </row>
    <row r="288" spans="1:8" ht="15.75" customHeight="1">
      <c r="A288" s="6">
        <v>283</v>
      </c>
      <c r="B288" s="11" t="s">
        <v>268</v>
      </c>
      <c r="C288" s="11">
        <f xml:space="preserve">     24650</f>
        <v>24650</v>
      </c>
      <c r="D288" s="11"/>
      <c r="E288" s="17"/>
      <c r="F288" s="12"/>
      <c r="G288" s="8">
        <f t="shared" si="4"/>
        <v>0</v>
      </c>
      <c r="H288" s="1"/>
    </row>
    <row r="289" spans="1:8" ht="15.75" customHeight="1">
      <c r="A289" s="6">
        <v>284</v>
      </c>
      <c r="B289" s="11" t="s">
        <v>269</v>
      </c>
      <c r="C289" s="11">
        <f xml:space="preserve">      3050</f>
        <v>3050</v>
      </c>
      <c r="D289" s="11"/>
      <c r="E289" s="17"/>
      <c r="F289" s="12"/>
      <c r="G289" s="8">
        <f t="shared" si="4"/>
        <v>0</v>
      </c>
      <c r="H289" s="1"/>
    </row>
    <row r="290" spans="1:8" ht="15.75" customHeight="1">
      <c r="A290" s="6">
        <v>285</v>
      </c>
      <c r="B290" s="11" t="s">
        <v>270</v>
      </c>
      <c r="C290" s="11">
        <f xml:space="preserve">      5160</f>
        <v>5160</v>
      </c>
      <c r="D290" s="11"/>
      <c r="E290" s="17"/>
      <c r="F290" s="12"/>
      <c r="G290" s="8">
        <f t="shared" si="4"/>
        <v>0</v>
      </c>
      <c r="H290" s="1"/>
    </row>
    <row r="291" spans="1:8" ht="15.75" customHeight="1">
      <c r="A291" s="6">
        <v>286</v>
      </c>
      <c r="B291" s="11" t="s">
        <v>271</v>
      </c>
      <c r="C291" s="11">
        <f xml:space="preserve">      4800</f>
        <v>4800</v>
      </c>
      <c r="D291" s="11"/>
      <c r="E291" s="17"/>
      <c r="F291" s="12"/>
      <c r="G291" s="8">
        <f t="shared" si="4"/>
        <v>0</v>
      </c>
      <c r="H291" s="1"/>
    </row>
    <row r="292" spans="1:8" ht="15.75" customHeight="1">
      <c r="A292" s="6">
        <v>287</v>
      </c>
      <c r="B292" s="11" t="s">
        <v>272</v>
      </c>
      <c r="C292" s="11">
        <f xml:space="preserve">      5050</f>
        <v>5050</v>
      </c>
      <c r="D292" s="11"/>
      <c r="E292" s="17"/>
      <c r="F292" s="12"/>
      <c r="G292" s="8">
        <f t="shared" si="4"/>
        <v>0</v>
      </c>
      <c r="H292" s="1"/>
    </row>
    <row r="293" spans="1:8" ht="15.75" customHeight="1">
      <c r="A293" s="6">
        <v>288</v>
      </c>
      <c r="B293" s="11" t="s">
        <v>273</v>
      </c>
      <c r="C293" s="11">
        <f xml:space="preserve">      3000</f>
        <v>3000</v>
      </c>
      <c r="D293" s="11"/>
      <c r="E293" s="17"/>
      <c r="F293" s="12"/>
      <c r="G293" s="8">
        <f t="shared" si="4"/>
        <v>0</v>
      </c>
      <c r="H293" s="1"/>
    </row>
    <row r="294" spans="1:8" ht="15.75" customHeight="1">
      <c r="A294" s="6">
        <v>289</v>
      </c>
      <c r="B294" s="11" t="s">
        <v>274</v>
      </c>
      <c r="C294" s="11">
        <f xml:space="preserve">      2600</f>
        <v>2600</v>
      </c>
      <c r="D294" s="11"/>
      <c r="E294" s="17"/>
      <c r="F294" s="12"/>
      <c r="G294" s="8">
        <f t="shared" si="4"/>
        <v>0</v>
      </c>
      <c r="H294" s="1"/>
    </row>
    <row r="295" spans="1:8" ht="15.75" customHeight="1">
      <c r="A295" s="6">
        <v>290</v>
      </c>
      <c r="B295" s="11" t="s">
        <v>275</v>
      </c>
      <c r="C295" s="11">
        <f xml:space="preserve">      2250</f>
        <v>2250</v>
      </c>
      <c r="D295" s="11"/>
      <c r="E295" s="17"/>
      <c r="F295" s="12"/>
      <c r="G295" s="8">
        <f t="shared" si="4"/>
        <v>0</v>
      </c>
      <c r="H295" s="1"/>
    </row>
    <row r="296" spans="1:8" ht="15.75" customHeight="1">
      <c r="A296" s="6">
        <v>291</v>
      </c>
      <c r="B296" s="11" t="s">
        <v>276</v>
      </c>
      <c r="C296" s="11">
        <f xml:space="preserve">      8500</f>
        <v>8500</v>
      </c>
      <c r="D296" s="11"/>
      <c r="E296" s="17"/>
      <c r="F296" s="12"/>
      <c r="G296" s="8">
        <f t="shared" si="4"/>
        <v>0</v>
      </c>
      <c r="H296" s="1"/>
    </row>
    <row r="297" spans="1:8" ht="15.75" customHeight="1">
      <c r="A297" s="6">
        <v>292</v>
      </c>
      <c r="B297" s="11" t="s">
        <v>277</v>
      </c>
      <c r="C297" s="11">
        <f xml:space="preserve">     30600</f>
        <v>30600</v>
      </c>
      <c r="D297" s="11"/>
      <c r="E297" s="17"/>
      <c r="F297" s="12"/>
      <c r="G297" s="8">
        <f t="shared" si="4"/>
        <v>0</v>
      </c>
      <c r="H297" s="1"/>
    </row>
    <row r="298" spans="1:8" ht="15.75" customHeight="1">
      <c r="A298" s="6">
        <v>293</v>
      </c>
      <c r="B298" s="11" t="s">
        <v>278</v>
      </c>
      <c r="C298" s="11">
        <f xml:space="preserve">     71200</f>
        <v>71200</v>
      </c>
      <c r="D298" s="11"/>
      <c r="E298" s="17"/>
      <c r="F298" s="12"/>
      <c r="G298" s="8">
        <f t="shared" si="4"/>
        <v>0</v>
      </c>
      <c r="H298" s="1"/>
    </row>
    <row r="299" spans="1:8" ht="15.75" customHeight="1">
      <c r="A299" s="6">
        <v>294</v>
      </c>
      <c r="B299" s="11" t="s">
        <v>279</v>
      </c>
      <c r="C299" s="11">
        <f xml:space="preserve">     40500</f>
        <v>40500</v>
      </c>
      <c r="D299" s="11"/>
      <c r="E299" s="17"/>
      <c r="F299" s="12"/>
      <c r="G299" s="8">
        <f t="shared" si="4"/>
        <v>0</v>
      </c>
      <c r="H299" s="1"/>
    </row>
    <row r="300" spans="1:8" ht="15.75" customHeight="1">
      <c r="A300" s="6">
        <v>295</v>
      </c>
      <c r="B300" s="11" t="s">
        <v>279</v>
      </c>
      <c r="C300" s="11">
        <f xml:space="preserve">     41650</f>
        <v>41650</v>
      </c>
      <c r="D300" s="11"/>
      <c r="E300" s="17"/>
      <c r="F300" s="12"/>
      <c r="G300" s="8">
        <f t="shared" si="4"/>
        <v>0</v>
      </c>
      <c r="H300" s="1"/>
    </row>
    <row r="301" spans="1:8" ht="15.75" customHeight="1">
      <c r="A301" s="6">
        <v>296</v>
      </c>
      <c r="B301" s="11" t="s">
        <v>280</v>
      </c>
      <c r="C301" s="11">
        <f xml:space="preserve">     36500</f>
        <v>36500</v>
      </c>
      <c r="D301" s="11"/>
      <c r="E301" s="17"/>
      <c r="F301" s="12"/>
      <c r="G301" s="8">
        <f t="shared" si="4"/>
        <v>0</v>
      </c>
      <c r="H301" s="1"/>
    </row>
    <row r="302" spans="1:8" ht="15.75" customHeight="1">
      <c r="A302" s="6">
        <v>297</v>
      </c>
      <c r="B302" s="11" t="s">
        <v>281</v>
      </c>
      <c r="C302" s="11">
        <f xml:space="preserve">     17600</f>
        <v>17600</v>
      </c>
      <c r="D302" s="11"/>
      <c r="E302" s="17"/>
      <c r="F302" s="12"/>
      <c r="G302" s="8">
        <f t="shared" si="4"/>
        <v>0</v>
      </c>
      <c r="H302" s="1"/>
    </row>
    <row r="303" spans="1:8" ht="15.75" customHeight="1">
      <c r="A303" s="6">
        <v>298</v>
      </c>
      <c r="B303" s="11" t="s">
        <v>282</v>
      </c>
      <c r="C303" s="11">
        <f xml:space="preserve">     46150</f>
        <v>46150</v>
      </c>
      <c r="D303" s="11"/>
      <c r="E303" s="17"/>
      <c r="F303" s="12"/>
      <c r="G303" s="8">
        <f t="shared" si="4"/>
        <v>0</v>
      </c>
      <c r="H303" s="1"/>
    </row>
    <row r="304" spans="1:8" ht="15.75" customHeight="1">
      <c r="A304" s="6">
        <v>299</v>
      </c>
      <c r="B304" s="11" t="s">
        <v>283</v>
      </c>
      <c r="C304" s="11">
        <f xml:space="preserve">    108000</f>
        <v>108000</v>
      </c>
      <c r="D304" s="11"/>
      <c r="E304" s="17"/>
      <c r="F304" s="12"/>
      <c r="G304" s="8">
        <f t="shared" si="4"/>
        <v>0</v>
      </c>
      <c r="H304" s="1"/>
    </row>
    <row r="305" spans="1:8" ht="15.75" customHeight="1">
      <c r="A305" s="6">
        <v>300</v>
      </c>
      <c r="B305" s="11" t="s">
        <v>284</v>
      </c>
      <c r="C305" s="11">
        <f xml:space="preserve">     40100</f>
        <v>40100</v>
      </c>
      <c r="D305" s="11"/>
      <c r="E305" s="17"/>
      <c r="F305" s="12"/>
      <c r="G305" s="8">
        <f t="shared" si="4"/>
        <v>0</v>
      </c>
      <c r="H305" s="1"/>
    </row>
    <row r="306" spans="1:8" ht="15.75" customHeight="1">
      <c r="A306" s="6">
        <v>301</v>
      </c>
      <c r="B306" s="11" t="s">
        <v>285</v>
      </c>
      <c r="C306" s="11">
        <f xml:space="preserve">    116800</f>
        <v>116800</v>
      </c>
      <c r="D306" s="11"/>
      <c r="E306" s="17"/>
      <c r="F306" s="12"/>
      <c r="G306" s="8">
        <f t="shared" si="4"/>
        <v>0</v>
      </c>
      <c r="H306" s="1"/>
    </row>
    <row r="307" spans="1:8" ht="15.75" customHeight="1">
      <c r="A307" s="6">
        <v>302</v>
      </c>
      <c r="B307" s="11" t="s">
        <v>286</v>
      </c>
      <c r="C307" s="11">
        <f xml:space="preserve">     52950</f>
        <v>52950</v>
      </c>
      <c r="D307" s="11"/>
      <c r="E307" s="17"/>
      <c r="F307" s="12"/>
      <c r="G307" s="8">
        <f t="shared" si="4"/>
        <v>0</v>
      </c>
      <c r="H307" s="1"/>
    </row>
    <row r="308" spans="1:8" ht="15.75" customHeight="1">
      <c r="A308" s="6">
        <v>303</v>
      </c>
      <c r="B308" s="11" t="s">
        <v>287</v>
      </c>
      <c r="C308" s="11">
        <f xml:space="preserve">     36600</f>
        <v>36600</v>
      </c>
      <c r="D308" s="11"/>
      <c r="E308" s="17"/>
      <c r="F308" s="12"/>
      <c r="G308" s="8">
        <f t="shared" si="4"/>
        <v>0</v>
      </c>
      <c r="H308" s="1"/>
    </row>
    <row r="309" spans="1:8" ht="15.75" customHeight="1">
      <c r="A309" s="6">
        <v>304</v>
      </c>
      <c r="B309" s="11" t="s">
        <v>287</v>
      </c>
      <c r="C309" s="11">
        <f xml:space="preserve">     36600</f>
        <v>36600</v>
      </c>
      <c r="D309" s="11"/>
      <c r="E309" s="17"/>
      <c r="F309" s="12"/>
      <c r="G309" s="8">
        <f t="shared" si="4"/>
        <v>0</v>
      </c>
      <c r="H309" s="1"/>
    </row>
    <row r="310" spans="1:8" ht="15.75" customHeight="1">
      <c r="A310" s="6">
        <v>305</v>
      </c>
      <c r="B310" s="11" t="s">
        <v>288</v>
      </c>
      <c r="C310" s="11">
        <f xml:space="preserve">     37650</f>
        <v>37650</v>
      </c>
      <c r="D310" s="11"/>
      <c r="E310" s="17"/>
      <c r="F310" s="12"/>
      <c r="G310" s="8">
        <f t="shared" si="4"/>
        <v>0</v>
      </c>
      <c r="H310" s="1"/>
    </row>
    <row r="311" spans="1:8" ht="15.75" customHeight="1">
      <c r="A311" s="6">
        <v>306</v>
      </c>
      <c r="B311" s="11" t="s">
        <v>289</v>
      </c>
      <c r="C311" s="11">
        <f xml:space="preserve">     32200</f>
        <v>32200</v>
      </c>
      <c r="D311" s="11"/>
      <c r="E311" s="17"/>
      <c r="F311" s="12"/>
      <c r="G311" s="8">
        <f t="shared" si="4"/>
        <v>0</v>
      </c>
      <c r="H311" s="1"/>
    </row>
    <row r="312" spans="1:8" ht="15.75" customHeight="1">
      <c r="A312" s="6">
        <v>307</v>
      </c>
      <c r="B312" s="11" t="s">
        <v>290</v>
      </c>
      <c r="C312" s="11">
        <f xml:space="preserve">     14950</f>
        <v>14950</v>
      </c>
      <c r="D312" s="11"/>
      <c r="E312" s="17"/>
      <c r="F312" s="12"/>
      <c r="G312" s="8">
        <f t="shared" si="4"/>
        <v>0</v>
      </c>
      <c r="H312" s="1"/>
    </row>
    <row r="313" spans="1:8" ht="15.75" customHeight="1">
      <c r="A313" s="6">
        <v>308</v>
      </c>
      <c r="B313" s="11" t="s">
        <v>291</v>
      </c>
      <c r="C313" s="11">
        <f xml:space="preserve">     11300</f>
        <v>11300</v>
      </c>
      <c r="D313" s="11"/>
      <c r="E313" s="17"/>
      <c r="F313" s="12"/>
      <c r="G313" s="8">
        <f t="shared" si="4"/>
        <v>0</v>
      </c>
      <c r="H313" s="1"/>
    </row>
    <row r="314" spans="1:8" ht="15.75" customHeight="1">
      <c r="A314" s="6">
        <v>309</v>
      </c>
      <c r="B314" s="11" t="s">
        <v>292</v>
      </c>
      <c r="C314" s="11">
        <f xml:space="preserve">      7400</f>
        <v>7400</v>
      </c>
      <c r="D314" s="11"/>
      <c r="E314" s="17"/>
      <c r="F314" s="12"/>
      <c r="G314" s="8">
        <f t="shared" si="4"/>
        <v>0</v>
      </c>
      <c r="H314" s="1"/>
    </row>
    <row r="315" spans="1:8" ht="15.75" customHeight="1">
      <c r="A315" s="6">
        <v>310</v>
      </c>
      <c r="B315" s="11" t="s">
        <v>293</v>
      </c>
      <c r="C315" s="11">
        <f xml:space="preserve">     21800</f>
        <v>21800</v>
      </c>
      <c r="D315" s="11"/>
      <c r="E315" s="17"/>
      <c r="F315" s="12"/>
      <c r="G315" s="8">
        <f t="shared" si="4"/>
        <v>0</v>
      </c>
      <c r="H315" s="1"/>
    </row>
    <row r="316" spans="1:8" ht="15.75" customHeight="1">
      <c r="A316" s="6">
        <v>311</v>
      </c>
      <c r="B316" s="11" t="s">
        <v>294</v>
      </c>
      <c r="C316" s="11">
        <f xml:space="preserve">     13950</f>
        <v>13950</v>
      </c>
      <c r="D316" s="11"/>
      <c r="E316" s="17"/>
      <c r="F316" s="12"/>
      <c r="G316" s="8">
        <f t="shared" si="4"/>
        <v>0</v>
      </c>
      <c r="H316" s="1"/>
    </row>
    <row r="317" spans="1:8" ht="15.75" customHeight="1">
      <c r="A317" s="6">
        <v>312</v>
      </c>
      <c r="B317" s="11" t="s">
        <v>295</v>
      </c>
      <c r="C317" s="11">
        <f xml:space="preserve">     65150</f>
        <v>65150</v>
      </c>
      <c r="D317" s="11"/>
      <c r="E317" s="17"/>
      <c r="F317" s="12"/>
      <c r="G317" s="8">
        <f t="shared" si="4"/>
        <v>0</v>
      </c>
      <c r="H317" s="1"/>
    </row>
    <row r="318" spans="1:8" ht="15.75" customHeight="1">
      <c r="A318" s="6">
        <v>313</v>
      </c>
      <c r="B318" s="11" t="s">
        <v>296</v>
      </c>
      <c r="C318" s="11">
        <f xml:space="preserve">     21550</f>
        <v>21550</v>
      </c>
      <c r="D318" s="11"/>
      <c r="E318" s="17"/>
      <c r="F318" s="12"/>
      <c r="G318" s="8">
        <f t="shared" si="4"/>
        <v>0</v>
      </c>
      <c r="H318" s="1"/>
    </row>
    <row r="319" spans="1:8" ht="15.75" customHeight="1">
      <c r="A319" s="6">
        <v>314</v>
      </c>
      <c r="B319" s="11" t="s">
        <v>297</v>
      </c>
      <c r="C319" s="11">
        <f xml:space="preserve">     12950</f>
        <v>12950</v>
      </c>
      <c r="D319" s="11"/>
      <c r="E319" s="17"/>
      <c r="F319" s="12"/>
      <c r="G319" s="8">
        <f t="shared" si="4"/>
        <v>0</v>
      </c>
      <c r="H319" s="1"/>
    </row>
    <row r="320" spans="1:8" ht="15.75" customHeight="1">
      <c r="A320" s="6">
        <v>315</v>
      </c>
      <c r="B320" s="11" t="s">
        <v>298</v>
      </c>
      <c r="C320" s="11">
        <f xml:space="preserve">     48250</f>
        <v>48250</v>
      </c>
      <c r="D320" s="11"/>
      <c r="E320" s="17"/>
      <c r="F320" s="12"/>
      <c r="G320" s="8">
        <f t="shared" si="4"/>
        <v>0</v>
      </c>
      <c r="H320" s="1"/>
    </row>
    <row r="321" spans="1:8" ht="15.75" customHeight="1">
      <c r="A321" s="6">
        <v>316</v>
      </c>
      <c r="B321" s="11" t="s">
        <v>299</v>
      </c>
      <c r="C321" s="11">
        <f xml:space="preserve">      1550</f>
        <v>1550</v>
      </c>
      <c r="D321" s="11"/>
      <c r="E321" s="17"/>
      <c r="F321" s="12"/>
      <c r="G321" s="8">
        <f t="shared" si="4"/>
        <v>0</v>
      </c>
      <c r="H321" s="1"/>
    </row>
    <row r="322" spans="1:8" ht="15.75" customHeight="1">
      <c r="A322" s="6">
        <v>317</v>
      </c>
      <c r="B322" s="11" t="s">
        <v>300</v>
      </c>
      <c r="C322" s="11">
        <f xml:space="preserve">      2800</f>
        <v>2800</v>
      </c>
      <c r="D322" s="11"/>
      <c r="E322" s="17"/>
      <c r="F322" s="12"/>
      <c r="G322" s="8">
        <f t="shared" si="4"/>
        <v>0</v>
      </c>
      <c r="H322" s="1"/>
    </row>
    <row r="323" spans="1:8" ht="15.75" customHeight="1">
      <c r="A323" s="6">
        <v>318</v>
      </c>
      <c r="B323" s="11" t="s">
        <v>301</v>
      </c>
      <c r="C323" s="11">
        <f xml:space="preserve">      1385</f>
        <v>1385</v>
      </c>
      <c r="D323" s="11"/>
      <c r="E323" s="17"/>
      <c r="F323" s="12"/>
      <c r="G323" s="8">
        <f t="shared" si="4"/>
        <v>0</v>
      </c>
      <c r="H323" s="1"/>
    </row>
    <row r="324" spans="1:8" ht="15.75" customHeight="1">
      <c r="A324" s="6">
        <v>319</v>
      </c>
      <c r="B324" s="11" t="s">
        <v>302</v>
      </c>
      <c r="C324" s="11">
        <f xml:space="preserve">     25000</f>
        <v>25000</v>
      </c>
      <c r="D324" s="11"/>
      <c r="E324" s="17"/>
      <c r="F324" s="12"/>
      <c r="G324" s="8">
        <f t="shared" si="4"/>
        <v>0</v>
      </c>
      <c r="H324" s="1"/>
    </row>
    <row r="325" spans="1:8" ht="15.75" customHeight="1">
      <c r="A325" s="6">
        <v>320</v>
      </c>
      <c r="B325" s="11" t="s">
        <v>303</v>
      </c>
      <c r="C325" s="11">
        <f xml:space="preserve">     51950</f>
        <v>51950</v>
      </c>
      <c r="D325" s="11"/>
      <c r="E325" s="17"/>
      <c r="F325" s="12"/>
      <c r="G325" s="8">
        <f t="shared" si="4"/>
        <v>0</v>
      </c>
      <c r="H325" s="1"/>
    </row>
    <row r="326" spans="1:8" ht="15.75" customHeight="1">
      <c r="A326" s="6">
        <v>321</v>
      </c>
      <c r="B326" s="11" t="s">
        <v>304</v>
      </c>
      <c r="C326" s="11">
        <f xml:space="preserve">     54300</f>
        <v>54300</v>
      </c>
      <c r="D326" s="11"/>
      <c r="E326" s="17"/>
      <c r="F326" s="12"/>
      <c r="G326" s="8">
        <f t="shared" ref="G326:G389" si="5">C326*D326+E326*F326</f>
        <v>0</v>
      </c>
      <c r="H326" s="1"/>
    </row>
    <row r="327" spans="1:8" ht="15.75" customHeight="1">
      <c r="A327" s="6">
        <v>322</v>
      </c>
      <c r="B327" s="11" t="s">
        <v>305</v>
      </c>
      <c r="C327" s="11">
        <f xml:space="preserve">     23300</f>
        <v>23300</v>
      </c>
      <c r="D327" s="11"/>
      <c r="E327" s="17"/>
      <c r="F327" s="12"/>
      <c r="G327" s="8">
        <f t="shared" si="5"/>
        <v>0</v>
      </c>
      <c r="H327" s="1"/>
    </row>
    <row r="328" spans="1:8" ht="15.75" customHeight="1">
      <c r="A328" s="6">
        <v>323</v>
      </c>
      <c r="B328" s="11" t="s">
        <v>306</v>
      </c>
      <c r="C328" s="11">
        <f xml:space="preserve">     32600</f>
        <v>32600</v>
      </c>
      <c r="D328" s="11"/>
      <c r="E328" s="17"/>
      <c r="F328" s="12"/>
      <c r="G328" s="8">
        <f t="shared" si="5"/>
        <v>0</v>
      </c>
      <c r="H328" s="1"/>
    </row>
    <row r="329" spans="1:8" ht="15.75" customHeight="1">
      <c r="A329" s="6">
        <v>324</v>
      </c>
      <c r="B329" s="11" t="s">
        <v>307</v>
      </c>
      <c r="C329" s="11">
        <f xml:space="preserve">     15650</f>
        <v>15650</v>
      </c>
      <c r="D329" s="11"/>
      <c r="E329" s="17"/>
      <c r="F329" s="12"/>
      <c r="G329" s="8">
        <f t="shared" si="5"/>
        <v>0</v>
      </c>
      <c r="H329" s="1"/>
    </row>
    <row r="330" spans="1:8" ht="15.75" customHeight="1">
      <c r="A330" s="6">
        <v>325</v>
      </c>
      <c r="B330" s="11" t="s">
        <v>308</v>
      </c>
      <c r="C330" s="11">
        <f xml:space="preserve">     10500</f>
        <v>10500</v>
      </c>
      <c r="D330" s="11"/>
      <c r="E330" s="17"/>
      <c r="F330" s="12"/>
      <c r="G330" s="8">
        <f t="shared" si="5"/>
        <v>0</v>
      </c>
      <c r="H330" s="1"/>
    </row>
    <row r="331" spans="1:8" ht="15.75" customHeight="1">
      <c r="A331" s="6">
        <v>326</v>
      </c>
      <c r="B331" s="11" t="s">
        <v>309</v>
      </c>
      <c r="C331" s="11">
        <f xml:space="preserve">     97200</f>
        <v>97200</v>
      </c>
      <c r="D331" s="11"/>
      <c r="E331" s="17"/>
      <c r="F331" s="12"/>
      <c r="G331" s="8">
        <f t="shared" si="5"/>
        <v>0</v>
      </c>
      <c r="H331" s="1"/>
    </row>
    <row r="332" spans="1:8" ht="15.75" customHeight="1">
      <c r="A332" s="6">
        <v>327</v>
      </c>
      <c r="B332" s="11" t="s">
        <v>310</v>
      </c>
      <c r="C332" s="11">
        <f xml:space="preserve">    164800</f>
        <v>164800</v>
      </c>
      <c r="D332" s="11"/>
      <c r="E332" s="17"/>
      <c r="F332" s="12"/>
      <c r="G332" s="8">
        <f t="shared" si="5"/>
        <v>0</v>
      </c>
      <c r="H332" s="1"/>
    </row>
    <row r="333" spans="1:8" ht="15.75" customHeight="1">
      <c r="A333" s="6">
        <v>328</v>
      </c>
      <c r="B333" s="11" t="s">
        <v>311</v>
      </c>
      <c r="C333" s="11">
        <f xml:space="preserve">     56350</f>
        <v>56350</v>
      </c>
      <c r="D333" s="11"/>
      <c r="E333" s="17"/>
      <c r="F333" s="12"/>
      <c r="G333" s="8">
        <f t="shared" si="5"/>
        <v>0</v>
      </c>
      <c r="H333" s="1"/>
    </row>
    <row r="334" spans="1:8" ht="15.75" customHeight="1">
      <c r="A334" s="6">
        <v>329</v>
      </c>
      <c r="B334" s="11" t="s">
        <v>312</v>
      </c>
      <c r="C334" s="11">
        <f xml:space="preserve">     58750</f>
        <v>58750</v>
      </c>
      <c r="D334" s="11"/>
      <c r="E334" s="17"/>
      <c r="F334" s="12"/>
      <c r="G334" s="8">
        <f t="shared" si="5"/>
        <v>0</v>
      </c>
      <c r="H334" s="1"/>
    </row>
    <row r="335" spans="1:8" ht="15.75" customHeight="1">
      <c r="A335" s="6">
        <v>330</v>
      </c>
      <c r="B335" s="11" t="s">
        <v>313</v>
      </c>
      <c r="C335" s="11">
        <f xml:space="preserve">     60300</f>
        <v>60300</v>
      </c>
      <c r="D335" s="11"/>
      <c r="E335" s="17"/>
      <c r="F335" s="12"/>
      <c r="G335" s="8">
        <f t="shared" si="5"/>
        <v>0</v>
      </c>
      <c r="H335" s="1"/>
    </row>
    <row r="336" spans="1:8" ht="15.75" customHeight="1">
      <c r="A336" s="6">
        <v>331</v>
      </c>
      <c r="B336" s="11" t="s">
        <v>314</v>
      </c>
      <c r="C336" s="11">
        <f xml:space="preserve">     39800</f>
        <v>39800</v>
      </c>
      <c r="D336" s="11"/>
      <c r="E336" s="17"/>
      <c r="F336" s="12"/>
      <c r="G336" s="8">
        <f t="shared" si="5"/>
        <v>0</v>
      </c>
      <c r="H336" s="1"/>
    </row>
    <row r="337" spans="1:8" ht="15.75" customHeight="1">
      <c r="A337" s="6">
        <v>332</v>
      </c>
      <c r="B337" s="11" t="s">
        <v>315</v>
      </c>
      <c r="C337" s="11">
        <f xml:space="preserve">     22500</f>
        <v>22500</v>
      </c>
      <c r="D337" s="11"/>
      <c r="E337" s="17"/>
      <c r="F337" s="12"/>
      <c r="G337" s="8">
        <f t="shared" si="5"/>
        <v>0</v>
      </c>
      <c r="H337" s="1"/>
    </row>
    <row r="338" spans="1:8" ht="15.75" customHeight="1">
      <c r="A338" s="6">
        <v>333</v>
      </c>
      <c r="B338" s="11" t="s">
        <v>316</v>
      </c>
      <c r="C338" s="11">
        <f xml:space="preserve">     25550</f>
        <v>25550</v>
      </c>
      <c r="D338" s="11"/>
      <c r="E338" s="17"/>
      <c r="F338" s="12"/>
      <c r="G338" s="8">
        <f t="shared" si="5"/>
        <v>0</v>
      </c>
      <c r="H338" s="1"/>
    </row>
    <row r="339" spans="1:8" ht="15.75" customHeight="1">
      <c r="A339" s="6">
        <v>334</v>
      </c>
      <c r="B339" s="11" t="s">
        <v>317</v>
      </c>
      <c r="C339" s="11">
        <f xml:space="preserve">     19600</f>
        <v>19600</v>
      </c>
      <c r="D339" s="11"/>
      <c r="E339" s="17"/>
      <c r="F339" s="12"/>
      <c r="G339" s="8">
        <f t="shared" si="5"/>
        <v>0</v>
      </c>
      <c r="H339" s="1"/>
    </row>
    <row r="340" spans="1:8" ht="15.75" customHeight="1">
      <c r="A340" s="6">
        <v>335</v>
      </c>
      <c r="B340" s="11" t="s">
        <v>318</v>
      </c>
      <c r="C340" s="11">
        <f xml:space="preserve">     10500</f>
        <v>10500</v>
      </c>
      <c r="D340" s="11"/>
      <c r="E340" s="17"/>
      <c r="F340" s="12"/>
      <c r="G340" s="8">
        <f t="shared" si="5"/>
        <v>0</v>
      </c>
      <c r="H340" s="1"/>
    </row>
    <row r="341" spans="1:8" ht="15.75" customHeight="1">
      <c r="A341" s="6">
        <v>336</v>
      </c>
      <c r="B341" s="11" t="s">
        <v>319</v>
      </c>
      <c r="C341" s="11">
        <f xml:space="preserve">     88650</f>
        <v>88650</v>
      </c>
      <c r="D341" s="11"/>
      <c r="E341" s="17"/>
      <c r="F341" s="12"/>
      <c r="G341" s="8">
        <f t="shared" si="5"/>
        <v>0</v>
      </c>
      <c r="H341" s="1"/>
    </row>
    <row r="342" spans="1:8" ht="15.75" customHeight="1">
      <c r="A342" s="6">
        <v>337</v>
      </c>
      <c r="B342" s="11" t="s">
        <v>320</v>
      </c>
      <c r="C342" s="11">
        <f xml:space="preserve">    224750</f>
        <v>224750</v>
      </c>
      <c r="D342" s="11"/>
      <c r="E342" s="17"/>
      <c r="F342" s="12"/>
      <c r="G342" s="8">
        <f t="shared" si="5"/>
        <v>0</v>
      </c>
      <c r="H342" s="1"/>
    </row>
    <row r="343" spans="1:8" ht="15.75" customHeight="1">
      <c r="A343" s="6">
        <v>338</v>
      </c>
      <c r="B343" s="11" t="s">
        <v>321</v>
      </c>
      <c r="C343" s="11">
        <f xml:space="preserve">     63000</f>
        <v>63000</v>
      </c>
      <c r="D343" s="11"/>
      <c r="E343" s="17"/>
      <c r="F343" s="12"/>
      <c r="G343" s="8">
        <f t="shared" si="5"/>
        <v>0</v>
      </c>
      <c r="H343" s="1"/>
    </row>
    <row r="344" spans="1:8" ht="15.75" customHeight="1">
      <c r="A344" s="6">
        <v>339</v>
      </c>
      <c r="B344" s="11" t="s">
        <v>322</v>
      </c>
      <c r="C344" s="11">
        <f xml:space="preserve">    124000</f>
        <v>124000</v>
      </c>
      <c r="D344" s="11"/>
      <c r="E344" s="17"/>
      <c r="F344" s="12"/>
      <c r="G344" s="8">
        <f t="shared" si="5"/>
        <v>0</v>
      </c>
      <c r="H344" s="1"/>
    </row>
    <row r="345" spans="1:8" ht="15.75" customHeight="1">
      <c r="A345" s="6">
        <v>340</v>
      </c>
      <c r="B345" s="11" t="s">
        <v>323</v>
      </c>
      <c r="C345" s="11">
        <f xml:space="preserve">     21300</f>
        <v>21300</v>
      </c>
      <c r="D345" s="11"/>
      <c r="E345" s="17"/>
      <c r="F345" s="12"/>
      <c r="G345" s="8">
        <f t="shared" si="5"/>
        <v>0</v>
      </c>
      <c r="H345" s="1"/>
    </row>
    <row r="346" spans="1:8" ht="15.75" customHeight="1">
      <c r="A346" s="6">
        <v>341</v>
      </c>
      <c r="B346" s="11" t="s">
        <v>324</v>
      </c>
      <c r="C346" s="11">
        <f xml:space="preserve">     47600</f>
        <v>47600</v>
      </c>
      <c r="D346" s="11"/>
      <c r="E346" s="17"/>
      <c r="F346" s="12"/>
      <c r="G346" s="8">
        <f t="shared" si="5"/>
        <v>0</v>
      </c>
      <c r="H346" s="1"/>
    </row>
    <row r="347" spans="1:8" ht="15.75" customHeight="1">
      <c r="A347" s="6">
        <v>342</v>
      </c>
      <c r="B347" s="11" t="s">
        <v>325</v>
      </c>
      <c r="C347" s="11">
        <f xml:space="preserve">     30200</f>
        <v>30200</v>
      </c>
      <c r="D347" s="11"/>
      <c r="E347" s="17"/>
      <c r="F347" s="12"/>
      <c r="G347" s="8">
        <f t="shared" si="5"/>
        <v>0</v>
      </c>
      <c r="H347" s="1"/>
    </row>
    <row r="348" spans="1:8" ht="15.75" customHeight="1">
      <c r="A348" s="6">
        <v>343</v>
      </c>
      <c r="B348" s="11" t="s">
        <v>326</v>
      </c>
      <c r="C348" s="11">
        <f xml:space="preserve">      1650</f>
        <v>1650</v>
      </c>
      <c r="D348" s="11"/>
      <c r="E348" s="17"/>
      <c r="F348" s="12"/>
      <c r="G348" s="8">
        <f t="shared" si="5"/>
        <v>0</v>
      </c>
      <c r="H348" s="1"/>
    </row>
    <row r="349" spans="1:8" ht="15.75" customHeight="1">
      <c r="A349" s="6">
        <v>344</v>
      </c>
      <c r="B349" s="11" t="s">
        <v>327</v>
      </c>
      <c r="C349" s="11">
        <f xml:space="preserve">       950</f>
        <v>950</v>
      </c>
      <c r="D349" s="11"/>
      <c r="E349" s="17"/>
      <c r="F349" s="12"/>
      <c r="G349" s="8">
        <f t="shared" si="5"/>
        <v>0</v>
      </c>
      <c r="H349" s="1"/>
    </row>
    <row r="350" spans="1:8" ht="15.75" customHeight="1">
      <c r="A350" s="6">
        <v>345</v>
      </c>
      <c r="B350" s="11" t="s">
        <v>328</v>
      </c>
      <c r="C350" s="11">
        <f xml:space="preserve">       950</f>
        <v>950</v>
      </c>
      <c r="D350" s="11"/>
      <c r="E350" s="17"/>
      <c r="F350" s="12"/>
      <c r="G350" s="8">
        <f t="shared" si="5"/>
        <v>0</v>
      </c>
      <c r="H350" s="1"/>
    </row>
    <row r="351" spans="1:8" ht="15.75" customHeight="1">
      <c r="A351" s="6">
        <v>346</v>
      </c>
      <c r="B351" s="11" t="s">
        <v>329</v>
      </c>
      <c r="C351" s="11">
        <f xml:space="preserve">      2310</f>
        <v>2310</v>
      </c>
      <c r="D351" s="11"/>
      <c r="E351" s="17"/>
      <c r="F351" s="12"/>
      <c r="G351" s="8">
        <f t="shared" si="5"/>
        <v>0</v>
      </c>
      <c r="H351" s="1"/>
    </row>
    <row r="352" spans="1:8" ht="15.75" customHeight="1">
      <c r="A352" s="6">
        <v>347</v>
      </c>
      <c r="B352" s="11" t="s">
        <v>330</v>
      </c>
      <c r="C352" s="11">
        <f xml:space="preserve">      2850</f>
        <v>2850</v>
      </c>
      <c r="D352" s="11"/>
      <c r="E352" s="17"/>
      <c r="F352" s="12"/>
      <c r="G352" s="8">
        <f t="shared" si="5"/>
        <v>0</v>
      </c>
      <c r="H352" s="1"/>
    </row>
    <row r="353" spans="1:8" ht="15.75" customHeight="1">
      <c r="A353" s="6">
        <v>348</v>
      </c>
      <c r="B353" s="11" t="s">
        <v>330</v>
      </c>
      <c r="C353" s="11">
        <f xml:space="preserve">      2800</f>
        <v>2800</v>
      </c>
      <c r="D353" s="11"/>
      <c r="E353" s="17"/>
      <c r="F353" s="12"/>
      <c r="G353" s="8">
        <f t="shared" si="5"/>
        <v>0</v>
      </c>
      <c r="H353" s="1"/>
    </row>
    <row r="354" spans="1:8" ht="15.75" customHeight="1">
      <c r="A354" s="6">
        <v>349</v>
      </c>
      <c r="B354" s="11" t="s">
        <v>331</v>
      </c>
      <c r="C354" s="11">
        <f xml:space="preserve">      3250</f>
        <v>3250</v>
      </c>
      <c r="D354" s="11"/>
      <c r="E354" s="17"/>
      <c r="F354" s="12"/>
      <c r="G354" s="8">
        <f t="shared" si="5"/>
        <v>0</v>
      </c>
      <c r="H354" s="1"/>
    </row>
    <row r="355" spans="1:8" ht="15.75" customHeight="1">
      <c r="A355" s="6">
        <v>350</v>
      </c>
      <c r="B355" s="11" t="s">
        <v>332</v>
      </c>
      <c r="C355" s="11">
        <f xml:space="preserve">      5200</f>
        <v>5200</v>
      </c>
      <c r="D355" s="11"/>
      <c r="E355" s="17"/>
      <c r="F355" s="12"/>
      <c r="G355" s="8">
        <f t="shared" si="5"/>
        <v>0</v>
      </c>
      <c r="H355" s="1"/>
    </row>
    <row r="356" spans="1:8" ht="15.75" customHeight="1">
      <c r="A356" s="6">
        <v>351</v>
      </c>
      <c r="B356" s="11" t="s">
        <v>333</v>
      </c>
      <c r="C356" s="11">
        <f xml:space="preserve">      9900</f>
        <v>9900</v>
      </c>
      <c r="D356" s="11"/>
      <c r="E356" s="17"/>
      <c r="F356" s="12"/>
      <c r="G356" s="8">
        <f t="shared" si="5"/>
        <v>0</v>
      </c>
      <c r="H356" s="1"/>
    </row>
    <row r="357" spans="1:8" ht="15.75" customHeight="1">
      <c r="A357" s="6">
        <v>352</v>
      </c>
      <c r="B357" s="11" t="s">
        <v>334</v>
      </c>
      <c r="C357" s="11">
        <f xml:space="preserve">      8600</f>
        <v>8600</v>
      </c>
      <c r="D357" s="11"/>
      <c r="E357" s="17"/>
      <c r="F357" s="12"/>
      <c r="G357" s="8">
        <f t="shared" si="5"/>
        <v>0</v>
      </c>
      <c r="H357" s="1"/>
    </row>
    <row r="358" spans="1:8" ht="15.75" customHeight="1">
      <c r="A358" s="6">
        <v>353</v>
      </c>
      <c r="B358" s="11" t="s">
        <v>335</v>
      </c>
      <c r="C358" s="11">
        <f xml:space="preserve">     11950</f>
        <v>11950</v>
      </c>
      <c r="D358" s="11"/>
      <c r="E358" s="17"/>
      <c r="F358" s="12"/>
      <c r="G358" s="8">
        <f t="shared" si="5"/>
        <v>0</v>
      </c>
      <c r="H358" s="1"/>
    </row>
    <row r="359" spans="1:8" ht="15.75" customHeight="1">
      <c r="A359" s="6">
        <v>354</v>
      </c>
      <c r="B359" s="11" t="s">
        <v>336</v>
      </c>
      <c r="C359" s="11">
        <f xml:space="preserve">     14800</f>
        <v>14800</v>
      </c>
      <c r="D359" s="11"/>
      <c r="E359" s="17"/>
      <c r="F359" s="12"/>
      <c r="G359" s="8">
        <f t="shared" si="5"/>
        <v>0</v>
      </c>
      <c r="H359" s="1"/>
    </row>
    <row r="360" spans="1:8" ht="15.75" customHeight="1">
      <c r="A360" s="6">
        <v>355</v>
      </c>
      <c r="B360" s="11" t="s">
        <v>337</v>
      </c>
      <c r="C360" s="11">
        <f xml:space="preserve">      7200</f>
        <v>7200</v>
      </c>
      <c r="D360" s="11"/>
      <c r="E360" s="17"/>
      <c r="F360" s="12"/>
      <c r="G360" s="8">
        <f t="shared" si="5"/>
        <v>0</v>
      </c>
      <c r="H360" s="1"/>
    </row>
    <row r="361" spans="1:8" ht="15.75" customHeight="1">
      <c r="A361" s="6">
        <v>356</v>
      </c>
      <c r="B361" s="11" t="s">
        <v>338</v>
      </c>
      <c r="C361" s="11">
        <f xml:space="preserve">      6150</f>
        <v>6150</v>
      </c>
      <c r="D361" s="11"/>
      <c r="E361" s="17"/>
      <c r="F361" s="12"/>
      <c r="G361" s="8">
        <f t="shared" si="5"/>
        <v>0</v>
      </c>
      <c r="H361" s="1"/>
    </row>
    <row r="362" spans="1:8" ht="15.75" customHeight="1">
      <c r="A362" s="6">
        <v>357</v>
      </c>
      <c r="B362" s="11" t="s">
        <v>339</v>
      </c>
      <c r="C362" s="11">
        <f xml:space="preserve">     12450</f>
        <v>12450</v>
      </c>
      <c r="D362" s="11"/>
      <c r="E362" s="17"/>
      <c r="F362" s="12"/>
      <c r="G362" s="8">
        <f t="shared" si="5"/>
        <v>0</v>
      </c>
      <c r="H362" s="1"/>
    </row>
    <row r="363" spans="1:8" ht="15.75" customHeight="1">
      <c r="A363" s="6">
        <v>358</v>
      </c>
      <c r="B363" s="11" t="s">
        <v>340</v>
      </c>
      <c r="C363" s="11">
        <f xml:space="preserve">     15450</f>
        <v>15450</v>
      </c>
      <c r="D363" s="11"/>
      <c r="E363" s="17"/>
      <c r="F363" s="12"/>
      <c r="G363" s="8">
        <f t="shared" si="5"/>
        <v>0</v>
      </c>
      <c r="H363" s="1"/>
    </row>
    <row r="364" spans="1:8" ht="15.75" customHeight="1">
      <c r="A364" s="6">
        <v>359</v>
      </c>
      <c r="B364" s="11" t="s">
        <v>341</v>
      </c>
      <c r="C364" s="11">
        <f xml:space="preserve">     24450</f>
        <v>24450</v>
      </c>
      <c r="D364" s="11"/>
      <c r="E364" s="17"/>
      <c r="F364" s="12"/>
      <c r="G364" s="8">
        <f t="shared" si="5"/>
        <v>0</v>
      </c>
      <c r="H364" s="1"/>
    </row>
    <row r="365" spans="1:8" ht="15.75" customHeight="1">
      <c r="A365" s="6">
        <v>360</v>
      </c>
      <c r="B365" s="11" t="s">
        <v>342</v>
      </c>
      <c r="C365" s="11">
        <f xml:space="preserve">      9000</f>
        <v>9000</v>
      </c>
      <c r="D365" s="11"/>
      <c r="E365" s="17"/>
      <c r="F365" s="12"/>
      <c r="G365" s="8">
        <f t="shared" si="5"/>
        <v>0</v>
      </c>
      <c r="H365" s="1"/>
    </row>
    <row r="366" spans="1:8" ht="15.75" customHeight="1">
      <c r="A366" s="6">
        <v>361</v>
      </c>
      <c r="B366" s="11" t="s">
        <v>343</v>
      </c>
      <c r="C366" s="11">
        <f xml:space="preserve">     35800</f>
        <v>35800</v>
      </c>
      <c r="D366" s="11"/>
      <c r="E366" s="17"/>
      <c r="F366" s="12"/>
      <c r="G366" s="8">
        <f t="shared" si="5"/>
        <v>0</v>
      </c>
      <c r="H366" s="1"/>
    </row>
    <row r="367" spans="1:8" ht="15.75" customHeight="1">
      <c r="A367" s="6">
        <v>362</v>
      </c>
      <c r="B367" s="11" t="s">
        <v>344</v>
      </c>
      <c r="C367" s="11">
        <f xml:space="preserve">     89200</f>
        <v>89200</v>
      </c>
      <c r="D367" s="11"/>
      <c r="E367" s="17"/>
      <c r="F367" s="12"/>
      <c r="G367" s="8">
        <f t="shared" si="5"/>
        <v>0</v>
      </c>
      <c r="H367" s="1"/>
    </row>
    <row r="368" spans="1:8" ht="15.75" customHeight="1">
      <c r="A368" s="6">
        <v>363</v>
      </c>
      <c r="B368" s="11" t="s">
        <v>345</v>
      </c>
      <c r="C368" s="11">
        <f xml:space="preserve">     44000</f>
        <v>44000</v>
      </c>
      <c r="D368" s="11"/>
      <c r="E368" s="17"/>
      <c r="F368" s="12"/>
      <c r="G368" s="8">
        <f t="shared" si="5"/>
        <v>0</v>
      </c>
      <c r="H368" s="1"/>
    </row>
    <row r="369" spans="1:8" ht="15.75" customHeight="1">
      <c r="A369" s="6">
        <v>364</v>
      </c>
      <c r="B369" s="11" t="s">
        <v>346</v>
      </c>
      <c r="C369" s="11">
        <f xml:space="preserve">     13800</f>
        <v>13800</v>
      </c>
      <c r="D369" s="11"/>
      <c r="E369" s="17"/>
      <c r="F369" s="12"/>
      <c r="G369" s="8">
        <f t="shared" si="5"/>
        <v>0</v>
      </c>
      <c r="H369" s="1"/>
    </row>
    <row r="370" spans="1:8" ht="15.75" customHeight="1">
      <c r="A370" s="6">
        <v>365</v>
      </c>
      <c r="B370" s="11" t="s">
        <v>347</v>
      </c>
      <c r="C370" s="11">
        <f xml:space="preserve">     28500</f>
        <v>28500</v>
      </c>
      <c r="D370" s="11"/>
      <c r="E370" s="17"/>
      <c r="F370" s="12"/>
      <c r="G370" s="8">
        <f t="shared" si="5"/>
        <v>0</v>
      </c>
      <c r="H370" s="1"/>
    </row>
    <row r="371" spans="1:8" ht="15.75" customHeight="1">
      <c r="A371" s="6">
        <v>366</v>
      </c>
      <c r="B371" s="11" t="s">
        <v>347</v>
      </c>
      <c r="C371" s="11">
        <f xml:space="preserve">     28600</f>
        <v>28600</v>
      </c>
      <c r="D371" s="11"/>
      <c r="E371" s="17"/>
      <c r="F371" s="12"/>
      <c r="G371" s="8">
        <f t="shared" si="5"/>
        <v>0</v>
      </c>
      <c r="H371" s="1"/>
    </row>
    <row r="372" spans="1:8" ht="15.75" customHeight="1">
      <c r="A372" s="6">
        <v>367</v>
      </c>
      <c r="B372" s="11" t="s">
        <v>348</v>
      </c>
      <c r="C372" s="11">
        <f xml:space="preserve">     41800</f>
        <v>41800</v>
      </c>
      <c r="D372" s="11"/>
      <c r="E372" s="17"/>
      <c r="F372" s="12"/>
      <c r="G372" s="8">
        <f t="shared" si="5"/>
        <v>0</v>
      </c>
      <c r="H372" s="1"/>
    </row>
    <row r="373" spans="1:8" ht="15.75" customHeight="1">
      <c r="A373" s="6">
        <v>368</v>
      </c>
      <c r="B373" s="11" t="s">
        <v>349</v>
      </c>
      <c r="C373" s="11">
        <f xml:space="preserve">      3100</f>
        <v>3100</v>
      </c>
      <c r="D373" s="11"/>
      <c r="E373" s="17"/>
      <c r="F373" s="12"/>
      <c r="G373" s="8">
        <f t="shared" si="5"/>
        <v>0</v>
      </c>
      <c r="H373" s="1"/>
    </row>
    <row r="374" spans="1:8" ht="15.75" customHeight="1">
      <c r="A374" s="6">
        <v>369</v>
      </c>
      <c r="B374" s="11" t="s">
        <v>350</v>
      </c>
      <c r="C374" s="11">
        <f xml:space="preserve">      5650</f>
        <v>5650</v>
      </c>
      <c r="D374" s="11"/>
      <c r="E374" s="17"/>
      <c r="F374" s="12"/>
      <c r="G374" s="8">
        <f t="shared" si="5"/>
        <v>0</v>
      </c>
      <c r="H374" s="1"/>
    </row>
    <row r="375" spans="1:8" ht="15.75" customHeight="1">
      <c r="A375" s="6">
        <v>370</v>
      </c>
      <c r="B375" s="11" t="s">
        <v>351</v>
      </c>
      <c r="C375" s="11">
        <f xml:space="preserve">      3750</f>
        <v>3750</v>
      </c>
      <c r="D375" s="11"/>
      <c r="E375" s="17"/>
      <c r="F375" s="12"/>
      <c r="G375" s="8">
        <f t="shared" si="5"/>
        <v>0</v>
      </c>
      <c r="H375" s="1"/>
    </row>
    <row r="376" spans="1:8" ht="15.75" customHeight="1">
      <c r="A376" s="6">
        <v>371</v>
      </c>
      <c r="B376" s="11" t="s">
        <v>352</v>
      </c>
      <c r="C376" s="11">
        <f xml:space="preserve">      7150</f>
        <v>7150</v>
      </c>
      <c r="D376" s="11"/>
      <c r="E376" s="17"/>
      <c r="F376" s="12"/>
      <c r="G376" s="8">
        <f t="shared" si="5"/>
        <v>0</v>
      </c>
      <c r="H376" s="1"/>
    </row>
    <row r="377" spans="1:8" ht="15.75" customHeight="1">
      <c r="A377" s="6">
        <v>372</v>
      </c>
      <c r="B377" s="11" t="s">
        <v>353</v>
      </c>
      <c r="C377" s="11">
        <f xml:space="preserve">      7800</f>
        <v>7800</v>
      </c>
      <c r="D377" s="11"/>
      <c r="E377" s="17"/>
      <c r="F377" s="12"/>
      <c r="G377" s="8">
        <f t="shared" si="5"/>
        <v>0</v>
      </c>
      <c r="H377" s="1"/>
    </row>
    <row r="378" spans="1:8" ht="15.75" customHeight="1">
      <c r="A378" s="6">
        <v>373</v>
      </c>
      <c r="B378" s="11" t="s">
        <v>354</v>
      </c>
      <c r="C378" s="11">
        <f xml:space="preserve">     25500</f>
        <v>25500</v>
      </c>
      <c r="D378" s="11"/>
      <c r="E378" s="17"/>
      <c r="F378" s="12"/>
      <c r="G378" s="8">
        <f t="shared" si="5"/>
        <v>0</v>
      </c>
      <c r="H378" s="1"/>
    </row>
    <row r="379" spans="1:8" ht="15.75" customHeight="1">
      <c r="A379" s="6">
        <v>374</v>
      </c>
      <c r="B379" s="11" t="s">
        <v>355</v>
      </c>
      <c r="C379" s="11">
        <f xml:space="preserve">     13900</f>
        <v>13900</v>
      </c>
      <c r="D379" s="11"/>
      <c r="E379" s="17"/>
      <c r="F379" s="12"/>
      <c r="G379" s="8">
        <f t="shared" si="5"/>
        <v>0</v>
      </c>
      <c r="H379" s="1"/>
    </row>
    <row r="380" spans="1:8" ht="15.75" customHeight="1">
      <c r="A380" s="6">
        <v>375</v>
      </c>
      <c r="B380" s="11" t="s">
        <v>356</v>
      </c>
      <c r="C380" s="11">
        <f xml:space="preserve">     22300</f>
        <v>22300</v>
      </c>
      <c r="D380" s="11"/>
      <c r="E380" s="17"/>
      <c r="F380" s="12"/>
      <c r="G380" s="8">
        <f t="shared" si="5"/>
        <v>0</v>
      </c>
      <c r="H380" s="1"/>
    </row>
    <row r="381" spans="1:8" ht="15.75" customHeight="1">
      <c r="A381" s="6">
        <v>376</v>
      </c>
      <c r="B381" s="11" t="s">
        <v>357</v>
      </c>
      <c r="C381" s="11">
        <f xml:space="preserve">     20000</f>
        <v>20000</v>
      </c>
      <c r="D381" s="11"/>
      <c r="E381" s="17"/>
      <c r="F381" s="12"/>
      <c r="G381" s="8">
        <f t="shared" si="5"/>
        <v>0</v>
      </c>
      <c r="H381" s="1"/>
    </row>
    <row r="382" spans="1:8" ht="15.75" customHeight="1">
      <c r="A382" s="6">
        <v>377</v>
      </c>
      <c r="B382" s="11" t="s">
        <v>358</v>
      </c>
      <c r="C382" s="11">
        <f xml:space="preserve">     11000</f>
        <v>11000</v>
      </c>
      <c r="D382" s="11"/>
      <c r="E382" s="17"/>
      <c r="F382" s="12"/>
      <c r="G382" s="8">
        <f t="shared" si="5"/>
        <v>0</v>
      </c>
      <c r="H382" s="1"/>
    </row>
    <row r="383" spans="1:8" ht="15.75" customHeight="1">
      <c r="A383" s="6">
        <v>378</v>
      </c>
      <c r="B383" s="11" t="s">
        <v>359</v>
      </c>
      <c r="C383" s="11">
        <f xml:space="preserve">     59250</f>
        <v>59250</v>
      </c>
      <c r="D383" s="11"/>
      <c r="E383" s="17"/>
      <c r="F383" s="12"/>
      <c r="G383" s="8">
        <f t="shared" si="5"/>
        <v>0</v>
      </c>
      <c r="H383" s="1"/>
    </row>
    <row r="384" spans="1:8" ht="15.75" customHeight="1">
      <c r="A384" s="6">
        <v>379</v>
      </c>
      <c r="B384" s="11" t="s">
        <v>360</v>
      </c>
      <c r="C384" s="11">
        <f xml:space="preserve">     42450</f>
        <v>42450</v>
      </c>
      <c r="D384" s="11"/>
      <c r="E384" s="17"/>
      <c r="F384" s="12"/>
      <c r="G384" s="8">
        <f t="shared" si="5"/>
        <v>0</v>
      </c>
      <c r="H384" s="1"/>
    </row>
    <row r="385" spans="1:8" ht="15.75" customHeight="1">
      <c r="A385" s="6">
        <v>380</v>
      </c>
      <c r="B385" s="11" t="s">
        <v>361</v>
      </c>
      <c r="C385" s="11">
        <f xml:space="preserve">     55100</f>
        <v>55100</v>
      </c>
      <c r="D385" s="11"/>
      <c r="E385" s="17"/>
      <c r="F385" s="12"/>
      <c r="G385" s="8">
        <f t="shared" si="5"/>
        <v>0</v>
      </c>
      <c r="H385" s="1"/>
    </row>
    <row r="386" spans="1:8" ht="15.75" customHeight="1">
      <c r="A386" s="6">
        <v>381</v>
      </c>
      <c r="B386" s="11" t="s">
        <v>362</v>
      </c>
      <c r="C386" s="11">
        <f xml:space="preserve">      4700</f>
        <v>4700</v>
      </c>
      <c r="D386" s="11"/>
      <c r="E386" s="17"/>
      <c r="F386" s="12"/>
      <c r="G386" s="8">
        <f t="shared" si="5"/>
        <v>0</v>
      </c>
      <c r="H386" s="1"/>
    </row>
    <row r="387" spans="1:8" ht="15.75" customHeight="1">
      <c r="A387" s="6">
        <v>382</v>
      </c>
      <c r="B387" s="11" t="s">
        <v>363</v>
      </c>
      <c r="C387" s="11">
        <f xml:space="preserve">     16150</f>
        <v>16150</v>
      </c>
      <c r="D387" s="11"/>
      <c r="E387" s="17"/>
      <c r="F387" s="12"/>
      <c r="G387" s="8">
        <f t="shared" si="5"/>
        <v>0</v>
      </c>
      <c r="H387" s="1"/>
    </row>
    <row r="388" spans="1:8" ht="15.75" customHeight="1">
      <c r="A388" s="6">
        <v>383</v>
      </c>
      <c r="B388" s="11" t="s">
        <v>364</v>
      </c>
      <c r="C388" s="11">
        <f xml:space="preserve">     39250</f>
        <v>39250</v>
      </c>
      <c r="D388" s="11"/>
      <c r="E388" s="17"/>
      <c r="F388" s="12"/>
      <c r="G388" s="8">
        <f t="shared" si="5"/>
        <v>0</v>
      </c>
      <c r="H388" s="1"/>
    </row>
    <row r="389" spans="1:8" ht="15.75" customHeight="1">
      <c r="A389" s="6">
        <v>384</v>
      </c>
      <c r="B389" s="11" t="s">
        <v>365</v>
      </c>
      <c r="C389" s="11">
        <f xml:space="preserve">     41650</f>
        <v>41650</v>
      </c>
      <c r="D389" s="11"/>
      <c r="E389" s="17"/>
      <c r="F389" s="12"/>
      <c r="G389" s="8">
        <f t="shared" si="5"/>
        <v>0</v>
      </c>
      <c r="H389" s="1"/>
    </row>
    <row r="390" spans="1:8" ht="15.75" customHeight="1">
      <c r="A390" s="6">
        <v>385</v>
      </c>
      <c r="B390" s="11" t="s">
        <v>366</v>
      </c>
      <c r="C390" s="11">
        <f xml:space="preserve">     57900</f>
        <v>57900</v>
      </c>
      <c r="D390" s="11"/>
      <c r="E390" s="17"/>
      <c r="F390" s="12"/>
      <c r="G390" s="8">
        <f t="shared" ref="G390:G453" si="6">C390*D390+E390*F390</f>
        <v>0</v>
      </c>
      <c r="H390" s="1"/>
    </row>
    <row r="391" spans="1:8" ht="15.75" customHeight="1">
      <c r="A391" s="6">
        <v>386</v>
      </c>
      <c r="B391" s="11" t="s">
        <v>367</v>
      </c>
      <c r="C391" s="11">
        <f xml:space="preserve">     34350</f>
        <v>34350</v>
      </c>
      <c r="D391" s="11"/>
      <c r="E391" s="17"/>
      <c r="F391" s="12"/>
      <c r="G391" s="8">
        <f t="shared" si="6"/>
        <v>0</v>
      </c>
      <c r="H391" s="1"/>
    </row>
    <row r="392" spans="1:8" ht="15.75" customHeight="1">
      <c r="A392" s="6">
        <v>387</v>
      </c>
      <c r="B392" s="11" t="s">
        <v>368</v>
      </c>
      <c r="C392" s="11">
        <f xml:space="preserve">     34650</f>
        <v>34650</v>
      </c>
      <c r="D392" s="11"/>
      <c r="E392" s="17"/>
      <c r="F392" s="12"/>
      <c r="G392" s="8">
        <f t="shared" si="6"/>
        <v>0</v>
      </c>
      <c r="H392" s="1"/>
    </row>
    <row r="393" spans="1:8" ht="15.75" customHeight="1">
      <c r="A393" s="6">
        <v>388</v>
      </c>
      <c r="B393" s="11" t="s">
        <v>369</v>
      </c>
      <c r="C393" s="11">
        <f xml:space="preserve">      5500</f>
        <v>5500</v>
      </c>
      <c r="D393" s="11"/>
      <c r="E393" s="17"/>
      <c r="F393" s="12"/>
      <c r="G393" s="8">
        <f t="shared" si="6"/>
        <v>0</v>
      </c>
      <c r="H393" s="1"/>
    </row>
    <row r="394" spans="1:8" ht="15.75" customHeight="1">
      <c r="A394" s="6">
        <v>389</v>
      </c>
      <c r="B394" s="11" t="s">
        <v>369</v>
      </c>
      <c r="C394" s="11">
        <f xml:space="preserve">      5450</f>
        <v>5450</v>
      </c>
      <c r="D394" s="11"/>
      <c r="E394" s="17"/>
      <c r="F394" s="12"/>
      <c r="G394" s="8">
        <f t="shared" si="6"/>
        <v>0</v>
      </c>
      <c r="H394" s="1"/>
    </row>
    <row r="395" spans="1:8" ht="15.75" customHeight="1">
      <c r="A395" s="6">
        <v>390</v>
      </c>
      <c r="B395" s="11" t="s">
        <v>370</v>
      </c>
      <c r="C395" s="11">
        <f xml:space="preserve">      9450</f>
        <v>9450</v>
      </c>
      <c r="D395" s="11"/>
      <c r="E395" s="17"/>
      <c r="F395" s="12"/>
      <c r="G395" s="8">
        <f t="shared" si="6"/>
        <v>0</v>
      </c>
      <c r="H395" s="1"/>
    </row>
    <row r="396" spans="1:8" ht="15.75" customHeight="1">
      <c r="A396" s="6">
        <v>391</v>
      </c>
      <c r="B396" s="11" t="s">
        <v>371</v>
      </c>
      <c r="C396" s="11">
        <f xml:space="preserve">      8500</f>
        <v>8500</v>
      </c>
      <c r="D396" s="11"/>
      <c r="E396" s="17"/>
      <c r="F396" s="12"/>
      <c r="G396" s="8">
        <f t="shared" si="6"/>
        <v>0</v>
      </c>
      <c r="H396" s="1"/>
    </row>
    <row r="397" spans="1:8" ht="15.75" customHeight="1">
      <c r="A397" s="6">
        <v>392</v>
      </c>
      <c r="B397" s="11" t="s">
        <v>372</v>
      </c>
      <c r="C397" s="11">
        <f xml:space="preserve">      2700</f>
        <v>2700</v>
      </c>
      <c r="D397" s="11"/>
      <c r="E397" s="17"/>
      <c r="F397" s="12"/>
      <c r="G397" s="8">
        <f t="shared" si="6"/>
        <v>0</v>
      </c>
      <c r="H397" s="1"/>
    </row>
    <row r="398" spans="1:8" ht="15.75" customHeight="1">
      <c r="A398" s="6">
        <v>393</v>
      </c>
      <c r="B398" s="11" t="s">
        <v>373</v>
      </c>
      <c r="C398" s="11">
        <f xml:space="preserve">    234300</f>
        <v>234300</v>
      </c>
      <c r="D398" s="11"/>
      <c r="E398" s="17"/>
      <c r="F398" s="12"/>
      <c r="G398" s="8">
        <f t="shared" si="6"/>
        <v>0</v>
      </c>
      <c r="H398" s="1"/>
    </row>
    <row r="399" spans="1:8" ht="15.75" customHeight="1">
      <c r="A399" s="6">
        <v>394</v>
      </c>
      <c r="B399" s="11" t="s">
        <v>374</v>
      </c>
      <c r="C399" s="11">
        <f xml:space="preserve">    451400</f>
        <v>451400</v>
      </c>
      <c r="D399" s="11"/>
      <c r="E399" s="17"/>
      <c r="F399" s="12"/>
      <c r="G399" s="8">
        <f t="shared" si="6"/>
        <v>0</v>
      </c>
      <c r="H399" s="1"/>
    </row>
    <row r="400" spans="1:8" ht="15.75" customHeight="1">
      <c r="A400" s="6">
        <v>395</v>
      </c>
      <c r="B400" s="11" t="s">
        <v>375</v>
      </c>
      <c r="C400" s="11">
        <f xml:space="preserve">     17600</f>
        <v>17600</v>
      </c>
      <c r="D400" s="11"/>
      <c r="E400" s="17"/>
      <c r="F400" s="12"/>
      <c r="G400" s="8">
        <f t="shared" si="6"/>
        <v>0</v>
      </c>
      <c r="H400" s="1"/>
    </row>
    <row r="401" spans="1:8" ht="15.75" customHeight="1">
      <c r="A401" s="6">
        <v>396</v>
      </c>
      <c r="B401" s="11" t="s">
        <v>376</v>
      </c>
      <c r="C401" s="11">
        <f xml:space="preserve">     39900</f>
        <v>39900</v>
      </c>
      <c r="D401" s="11"/>
      <c r="E401" s="17"/>
      <c r="F401" s="12"/>
      <c r="G401" s="8">
        <f t="shared" si="6"/>
        <v>0</v>
      </c>
      <c r="H401" s="1"/>
    </row>
    <row r="402" spans="1:8" ht="15.75" customHeight="1">
      <c r="A402" s="6">
        <v>397</v>
      </c>
      <c r="B402" s="11" t="s">
        <v>377</v>
      </c>
      <c r="C402" s="11">
        <f xml:space="preserve">     37600</f>
        <v>37600</v>
      </c>
      <c r="D402" s="11"/>
      <c r="E402" s="17"/>
      <c r="F402" s="12"/>
      <c r="G402" s="8">
        <f t="shared" si="6"/>
        <v>0</v>
      </c>
      <c r="H402" s="1"/>
    </row>
    <row r="403" spans="1:8" ht="15.75" customHeight="1">
      <c r="A403" s="6">
        <v>398</v>
      </c>
      <c r="B403" s="11" t="s">
        <v>378</v>
      </c>
      <c r="C403" s="11">
        <f xml:space="preserve">     67100</f>
        <v>67100</v>
      </c>
      <c r="D403" s="11"/>
      <c r="E403" s="17"/>
      <c r="F403" s="12"/>
      <c r="G403" s="8">
        <f t="shared" si="6"/>
        <v>0</v>
      </c>
      <c r="H403" s="1"/>
    </row>
    <row r="404" spans="1:8" ht="15.75" customHeight="1">
      <c r="A404" s="6">
        <v>399</v>
      </c>
      <c r="B404" s="11" t="s">
        <v>379</v>
      </c>
      <c r="C404" s="11">
        <f xml:space="preserve">     31200</f>
        <v>31200</v>
      </c>
      <c r="D404" s="11"/>
      <c r="E404" s="17"/>
      <c r="F404" s="12"/>
      <c r="G404" s="8">
        <f t="shared" si="6"/>
        <v>0</v>
      </c>
      <c r="H404" s="1"/>
    </row>
    <row r="405" spans="1:8" ht="15.75" customHeight="1">
      <c r="A405" s="6">
        <v>400</v>
      </c>
      <c r="B405" s="11" t="s">
        <v>380</v>
      </c>
      <c r="C405" s="11">
        <f xml:space="preserve">     14900</f>
        <v>14900</v>
      </c>
      <c r="D405" s="11"/>
      <c r="E405" s="17"/>
      <c r="F405" s="12"/>
      <c r="G405" s="8">
        <f t="shared" si="6"/>
        <v>0</v>
      </c>
      <c r="H405" s="1"/>
    </row>
    <row r="406" spans="1:8" ht="15.75" customHeight="1">
      <c r="A406" s="6">
        <v>401</v>
      </c>
      <c r="B406" s="11" t="s">
        <v>381</v>
      </c>
      <c r="C406" s="11">
        <f xml:space="preserve">     15300</f>
        <v>15300</v>
      </c>
      <c r="D406" s="11"/>
      <c r="E406" s="17"/>
      <c r="F406" s="12"/>
      <c r="G406" s="8">
        <f t="shared" si="6"/>
        <v>0</v>
      </c>
      <c r="H406" s="1"/>
    </row>
    <row r="407" spans="1:8" ht="15.75" customHeight="1">
      <c r="A407" s="6">
        <v>402</v>
      </c>
      <c r="B407" s="11" t="s">
        <v>382</v>
      </c>
      <c r="C407" s="11">
        <f xml:space="preserve">     50600</f>
        <v>50600</v>
      </c>
      <c r="D407" s="11"/>
      <c r="E407" s="17"/>
      <c r="F407" s="12"/>
      <c r="G407" s="8">
        <f t="shared" si="6"/>
        <v>0</v>
      </c>
      <c r="H407" s="1"/>
    </row>
    <row r="408" spans="1:8" ht="15.75" customHeight="1">
      <c r="A408" s="6">
        <v>403</v>
      </c>
      <c r="B408" s="11" t="s">
        <v>383</v>
      </c>
      <c r="C408" s="11">
        <f xml:space="preserve">     53500</f>
        <v>53500</v>
      </c>
      <c r="D408" s="11"/>
      <c r="E408" s="17"/>
      <c r="F408" s="12"/>
      <c r="G408" s="8">
        <f t="shared" si="6"/>
        <v>0</v>
      </c>
      <c r="H408" s="1"/>
    </row>
    <row r="409" spans="1:8" ht="15.75" customHeight="1">
      <c r="A409" s="6">
        <v>404</v>
      </c>
      <c r="B409" s="11" t="s">
        <v>384</v>
      </c>
      <c r="C409" s="11">
        <f xml:space="preserve">     20100</f>
        <v>20100</v>
      </c>
      <c r="D409" s="11"/>
      <c r="E409" s="17"/>
      <c r="F409" s="12"/>
      <c r="G409" s="8">
        <f t="shared" si="6"/>
        <v>0</v>
      </c>
      <c r="H409" s="1"/>
    </row>
    <row r="410" spans="1:8" ht="15.75" customHeight="1">
      <c r="A410" s="6">
        <v>405</v>
      </c>
      <c r="B410" s="11" t="s">
        <v>385</v>
      </c>
      <c r="C410" s="11">
        <f xml:space="preserve">     10350</f>
        <v>10350</v>
      </c>
      <c r="D410" s="11"/>
      <c r="E410" s="17"/>
      <c r="F410" s="12"/>
      <c r="G410" s="8">
        <f t="shared" si="6"/>
        <v>0</v>
      </c>
      <c r="H410" s="1"/>
    </row>
    <row r="411" spans="1:8" ht="15.75" customHeight="1">
      <c r="A411" s="6">
        <v>406</v>
      </c>
      <c r="B411" s="11" t="s">
        <v>386</v>
      </c>
      <c r="C411" s="11">
        <f xml:space="preserve">       495</f>
        <v>495</v>
      </c>
      <c r="D411" s="11"/>
      <c r="E411" s="17"/>
      <c r="F411" s="12"/>
      <c r="G411" s="8">
        <f t="shared" si="6"/>
        <v>0</v>
      </c>
      <c r="H411" s="1"/>
    </row>
    <row r="412" spans="1:8" ht="15.75" customHeight="1">
      <c r="A412" s="6">
        <v>407</v>
      </c>
      <c r="B412" s="11" t="s">
        <v>387</v>
      </c>
      <c r="C412" s="11">
        <f xml:space="preserve">      1095</f>
        <v>1095</v>
      </c>
      <c r="D412" s="11"/>
      <c r="E412" s="17"/>
      <c r="F412" s="12"/>
      <c r="G412" s="8">
        <f t="shared" si="6"/>
        <v>0</v>
      </c>
      <c r="H412" s="1"/>
    </row>
    <row r="413" spans="1:8" ht="15.75" customHeight="1">
      <c r="A413" s="6">
        <v>408</v>
      </c>
      <c r="B413" s="11" t="s">
        <v>388</v>
      </c>
      <c r="C413" s="11">
        <f xml:space="preserve">      2200</f>
        <v>2200</v>
      </c>
      <c r="D413" s="11"/>
      <c r="E413" s="17"/>
      <c r="F413" s="12"/>
      <c r="G413" s="8">
        <f t="shared" si="6"/>
        <v>0</v>
      </c>
      <c r="H413" s="1"/>
    </row>
    <row r="414" spans="1:8" ht="15.75" customHeight="1">
      <c r="A414" s="6">
        <v>409</v>
      </c>
      <c r="B414" s="11" t="s">
        <v>389</v>
      </c>
      <c r="C414" s="11">
        <f xml:space="preserve">      7500</f>
        <v>7500</v>
      </c>
      <c r="D414" s="11"/>
      <c r="E414" s="17"/>
      <c r="F414" s="12"/>
      <c r="G414" s="8">
        <f t="shared" si="6"/>
        <v>0</v>
      </c>
      <c r="H414" s="1"/>
    </row>
    <row r="415" spans="1:8" ht="15.75" customHeight="1">
      <c r="A415" s="6">
        <v>410</v>
      </c>
      <c r="B415" s="11" t="s">
        <v>390</v>
      </c>
      <c r="C415" s="11">
        <f xml:space="preserve">      4250</f>
        <v>4250</v>
      </c>
      <c r="D415" s="11"/>
      <c r="E415" s="17"/>
      <c r="F415" s="12"/>
      <c r="G415" s="8">
        <f t="shared" si="6"/>
        <v>0</v>
      </c>
      <c r="H415" s="1"/>
    </row>
    <row r="416" spans="1:8" ht="15.75" customHeight="1">
      <c r="A416" s="6">
        <v>411</v>
      </c>
      <c r="B416" s="11" t="s">
        <v>391</v>
      </c>
      <c r="C416" s="11">
        <f xml:space="preserve">     12500</f>
        <v>12500</v>
      </c>
      <c r="D416" s="11"/>
      <c r="E416" s="17"/>
      <c r="F416" s="12"/>
      <c r="G416" s="8">
        <f t="shared" si="6"/>
        <v>0</v>
      </c>
      <c r="H416" s="1"/>
    </row>
    <row r="417" spans="1:8" ht="15.75" customHeight="1">
      <c r="A417" s="6">
        <v>412</v>
      </c>
      <c r="B417" s="11" t="s">
        <v>392</v>
      </c>
      <c r="C417" s="11">
        <f xml:space="preserve">    117400</f>
        <v>117400</v>
      </c>
      <c r="D417" s="11"/>
      <c r="E417" s="17"/>
      <c r="F417" s="12"/>
      <c r="G417" s="8">
        <f t="shared" si="6"/>
        <v>0</v>
      </c>
      <c r="H417" s="1"/>
    </row>
    <row r="418" spans="1:8" ht="15.75" customHeight="1">
      <c r="A418" s="6">
        <v>413</v>
      </c>
      <c r="B418" s="11" t="s">
        <v>393</v>
      </c>
      <c r="C418" s="11">
        <f xml:space="preserve">    136100</f>
        <v>136100</v>
      </c>
      <c r="D418" s="11"/>
      <c r="E418" s="17"/>
      <c r="F418" s="12"/>
      <c r="G418" s="8">
        <f t="shared" si="6"/>
        <v>0</v>
      </c>
      <c r="H418" s="1"/>
    </row>
    <row r="419" spans="1:8" ht="15.75" customHeight="1">
      <c r="A419" s="6">
        <v>414</v>
      </c>
      <c r="B419" s="11" t="s">
        <v>394</v>
      </c>
      <c r="C419" s="11">
        <f xml:space="preserve">     26600</f>
        <v>26600</v>
      </c>
      <c r="D419" s="11"/>
      <c r="E419" s="17"/>
      <c r="F419" s="12"/>
      <c r="G419" s="8">
        <f t="shared" si="6"/>
        <v>0</v>
      </c>
      <c r="H419" s="1"/>
    </row>
    <row r="420" spans="1:8" ht="15.75" customHeight="1">
      <c r="A420" s="6">
        <v>415</v>
      </c>
      <c r="B420" s="11" t="s">
        <v>395</v>
      </c>
      <c r="C420" s="11">
        <f xml:space="preserve">     11000</f>
        <v>11000</v>
      </c>
      <c r="D420" s="11"/>
      <c r="E420" s="17"/>
      <c r="F420" s="12"/>
      <c r="G420" s="8">
        <f t="shared" si="6"/>
        <v>0</v>
      </c>
      <c r="H420" s="1"/>
    </row>
    <row r="421" spans="1:8" ht="15.75" customHeight="1">
      <c r="A421" s="6">
        <v>416</v>
      </c>
      <c r="B421" s="11" t="s">
        <v>396</v>
      </c>
      <c r="C421" s="11">
        <f xml:space="preserve">     15000</f>
        <v>15000</v>
      </c>
      <c r="D421" s="11"/>
      <c r="E421" s="17"/>
      <c r="F421" s="12"/>
      <c r="G421" s="8">
        <f t="shared" si="6"/>
        <v>0</v>
      </c>
      <c r="H421" s="1"/>
    </row>
    <row r="422" spans="1:8" ht="15.75" customHeight="1">
      <c r="A422" s="6">
        <v>417</v>
      </c>
      <c r="B422" s="11" t="s">
        <v>397</v>
      </c>
      <c r="C422" s="11">
        <f xml:space="preserve">     30800</f>
        <v>30800</v>
      </c>
      <c r="D422" s="11"/>
      <c r="E422" s="17"/>
      <c r="F422" s="12"/>
      <c r="G422" s="8">
        <f t="shared" si="6"/>
        <v>0</v>
      </c>
      <c r="H422" s="1"/>
    </row>
    <row r="423" spans="1:8" ht="15.75" customHeight="1">
      <c r="A423" s="6">
        <v>418</v>
      </c>
      <c r="B423" s="11" t="s">
        <v>398</v>
      </c>
      <c r="C423" s="11">
        <f xml:space="preserve">     89850</f>
        <v>89850</v>
      </c>
      <c r="D423" s="11"/>
      <c r="E423" s="17"/>
      <c r="F423" s="12"/>
      <c r="G423" s="8">
        <f t="shared" si="6"/>
        <v>0</v>
      </c>
      <c r="H423" s="1"/>
    </row>
    <row r="424" spans="1:8" ht="15.75" customHeight="1">
      <c r="A424" s="6">
        <v>419</v>
      </c>
      <c r="B424" s="11" t="s">
        <v>399</v>
      </c>
      <c r="C424" s="11">
        <f xml:space="preserve">     72150</f>
        <v>72150</v>
      </c>
      <c r="D424" s="11"/>
      <c r="E424" s="17"/>
      <c r="F424" s="12"/>
      <c r="G424" s="8">
        <f t="shared" si="6"/>
        <v>0</v>
      </c>
      <c r="H424" s="1"/>
    </row>
    <row r="425" spans="1:8" ht="15.75" customHeight="1">
      <c r="A425" s="6">
        <v>420</v>
      </c>
      <c r="B425" s="11" t="s">
        <v>400</v>
      </c>
      <c r="C425" s="11">
        <f xml:space="preserve">     77750</f>
        <v>77750</v>
      </c>
      <c r="D425" s="11"/>
      <c r="E425" s="17"/>
      <c r="F425" s="12"/>
      <c r="G425" s="8">
        <f t="shared" si="6"/>
        <v>0</v>
      </c>
      <c r="H425" s="1"/>
    </row>
    <row r="426" spans="1:8" ht="15.75" customHeight="1">
      <c r="A426" s="6">
        <v>421</v>
      </c>
      <c r="B426" s="11" t="s">
        <v>401</v>
      </c>
      <c r="C426" s="11">
        <f xml:space="preserve">     84100</f>
        <v>84100</v>
      </c>
      <c r="D426" s="11"/>
      <c r="E426" s="17"/>
      <c r="F426" s="12"/>
      <c r="G426" s="8">
        <f t="shared" si="6"/>
        <v>0</v>
      </c>
      <c r="H426" s="1"/>
    </row>
    <row r="427" spans="1:8" ht="15.75" customHeight="1">
      <c r="A427" s="6">
        <v>422</v>
      </c>
      <c r="B427" s="11" t="s">
        <v>402</v>
      </c>
      <c r="C427" s="11">
        <f xml:space="preserve">     88500</f>
        <v>88500</v>
      </c>
      <c r="D427" s="11"/>
      <c r="E427" s="17"/>
      <c r="F427" s="12"/>
      <c r="G427" s="8">
        <f t="shared" si="6"/>
        <v>0</v>
      </c>
      <c r="H427" s="1"/>
    </row>
    <row r="428" spans="1:8" ht="15.75" customHeight="1">
      <c r="A428" s="6">
        <v>423</v>
      </c>
      <c r="B428" s="11" t="s">
        <v>403</v>
      </c>
      <c r="C428" s="11">
        <f xml:space="preserve">     34650</f>
        <v>34650</v>
      </c>
      <c r="D428" s="11"/>
      <c r="E428" s="17"/>
      <c r="F428" s="12"/>
      <c r="G428" s="8">
        <f t="shared" si="6"/>
        <v>0</v>
      </c>
      <c r="H428" s="1"/>
    </row>
    <row r="429" spans="1:8" ht="15.75" customHeight="1">
      <c r="A429" s="6">
        <v>424</v>
      </c>
      <c r="B429" s="11" t="s">
        <v>404</v>
      </c>
      <c r="C429" s="11">
        <f xml:space="preserve">     24100</f>
        <v>24100</v>
      </c>
      <c r="D429" s="11"/>
      <c r="E429" s="17"/>
      <c r="F429" s="12"/>
      <c r="G429" s="8">
        <f t="shared" si="6"/>
        <v>0</v>
      </c>
      <c r="H429" s="1"/>
    </row>
    <row r="430" spans="1:8" ht="15.75" customHeight="1">
      <c r="A430" s="6">
        <v>425</v>
      </c>
      <c r="B430" s="11" t="s">
        <v>405</v>
      </c>
      <c r="C430" s="11">
        <f xml:space="preserve">      3250</f>
        <v>3250</v>
      </c>
      <c r="D430" s="11"/>
      <c r="E430" s="17"/>
      <c r="F430" s="12"/>
      <c r="G430" s="8">
        <f t="shared" si="6"/>
        <v>0</v>
      </c>
      <c r="H430" s="1"/>
    </row>
    <row r="431" spans="1:8" ht="15.75" customHeight="1">
      <c r="A431" s="6">
        <v>426</v>
      </c>
      <c r="B431" s="11" t="s">
        <v>406</v>
      </c>
      <c r="C431" s="11">
        <f xml:space="preserve">     15900</f>
        <v>15900</v>
      </c>
      <c r="D431" s="11"/>
      <c r="E431" s="17"/>
      <c r="F431" s="12"/>
      <c r="G431" s="8">
        <f t="shared" si="6"/>
        <v>0</v>
      </c>
      <c r="H431" s="1"/>
    </row>
    <row r="432" spans="1:8" ht="15.75" customHeight="1">
      <c r="A432" s="6">
        <v>427</v>
      </c>
      <c r="B432" s="11" t="s">
        <v>407</v>
      </c>
      <c r="C432" s="11">
        <f xml:space="preserve">     22900</f>
        <v>22900</v>
      </c>
      <c r="D432" s="11"/>
      <c r="E432" s="17"/>
      <c r="F432" s="12"/>
      <c r="G432" s="8">
        <f t="shared" si="6"/>
        <v>0</v>
      </c>
      <c r="H432" s="1"/>
    </row>
    <row r="433" spans="1:8" ht="15.75" customHeight="1">
      <c r="A433" s="6">
        <v>428</v>
      </c>
      <c r="B433" s="11" t="s">
        <v>408</v>
      </c>
      <c r="C433" s="11">
        <f xml:space="preserve">     80100</f>
        <v>80100</v>
      </c>
      <c r="D433" s="11"/>
      <c r="E433" s="17"/>
      <c r="F433" s="12"/>
      <c r="G433" s="8">
        <f t="shared" si="6"/>
        <v>0</v>
      </c>
      <c r="H433" s="1"/>
    </row>
    <row r="434" spans="1:8" ht="15.75" customHeight="1">
      <c r="A434" s="6">
        <v>429</v>
      </c>
      <c r="B434" s="11" t="s">
        <v>409</v>
      </c>
      <c r="C434" s="11">
        <f xml:space="preserve">     13400</f>
        <v>13400</v>
      </c>
      <c r="D434" s="11"/>
      <c r="E434" s="17"/>
      <c r="F434" s="12"/>
      <c r="G434" s="8">
        <f t="shared" si="6"/>
        <v>0</v>
      </c>
      <c r="H434" s="1"/>
    </row>
    <row r="435" spans="1:8" ht="15.75" customHeight="1">
      <c r="A435" s="6">
        <v>430</v>
      </c>
      <c r="B435" s="11" t="s">
        <v>410</v>
      </c>
      <c r="C435" s="11">
        <f xml:space="preserve">     55850</f>
        <v>55850</v>
      </c>
      <c r="D435" s="11"/>
      <c r="E435" s="17"/>
      <c r="F435" s="12"/>
      <c r="G435" s="8">
        <f t="shared" si="6"/>
        <v>0</v>
      </c>
      <c r="H435" s="1"/>
    </row>
    <row r="436" spans="1:8" ht="15.75" customHeight="1">
      <c r="A436" s="6">
        <v>431</v>
      </c>
      <c r="B436" s="11" t="s">
        <v>411</v>
      </c>
      <c r="C436" s="11">
        <f xml:space="preserve">     10950</f>
        <v>10950</v>
      </c>
      <c r="D436" s="11"/>
      <c r="E436" s="17"/>
      <c r="F436" s="12"/>
      <c r="G436" s="8">
        <f t="shared" si="6"/>
        <v>0</v>
      </c>
      <c r="H436" s="1"/>
    </row>
    <row r="437" spans="1:8" ht="15.75" customHeight="1">
      <c r="A437" s="6">
        <v>432</v>
      </c>
      <c r="B437" s="11" t="s">
        <v>412</v>
      </c>
      <c r="C437" s="11">
        <f xml:space="preserve">     86450</f>
        <v>86450</v>
      </c>
      <c r="D437" s="11"/>
      <c r="E437" s="17"/>
      <c r="F437" s="12"/>
      <c r="G437" s="8">
        <f t="shared" si="6"/>
        <v>0</v>
      </c>
      <c r="H437" s="1"/>
    </row>
    <row r="438" spans="1:8" ht="15.75" customHeight="1">
      <c r="A438" s="6">
        <v>433</v>
      </c>
      <c r="B438" s="11" t="s">
        <v>413</v>
      </c>
      <c r="C438" s="11">
        <f xml:space="preserve">    150300</f>
        <v>150300</v>
      </c>
      <c r="D438" s="11"/>
      <c r="E438" s="17"/>
      <c r="F438" s="12"/>
      <c r="G438" s="8">
        <f t="shared" si="6"/>
        <v>0</v>
      </c>
      <c r="H438" s="1"/>
    </row>
    <row r="439" spans="1:8" ht="15.75" customHeight="1">
      <c r="A439" s="6">
        <v>434</v>
      </c>
      <c r="B439" s="11" t="s">
        <v>414</v>
      </c>
      <c r="C439" s="11">
        <f xml:space="preserve">      7400</f>
        <v>7400</v>
      </c>
      <c r="D439" s="11"/>
      <c r="E439" s="17"/>
      <c r="F439" s="12"/>
      <c r="G439" s="8">
        <f t="shared" si="6"/>
        <v>0</v>
      </c>
      <c r="H439" s="1"/>
    </row>
    <row r="440" spans="1:8" ht="15.75" customHeight="1">
      <c r="A440" s="6">
        <v>435</v>
      </c>
      <c r="B440" s="11" t="s">
        <v>415</v>
      </c>
      <c r="C440" s="11">
        <f xml:space="preserve">     54750</f>
        <v>54750</v>
      </c>
      <c r="D440" s="11"/>
      <c r="E440" s="17"/>
      <c r="F440" s="12"/>
      <c r="G440" s="8">
        <f t="shared" si="6"/>
        <v>0</v>
      </c>
      <c r="H440" s="1"/>
    </row>
    <row r="441" spans="1:8" ht="15.75" customHeight="1">
      <c r="A441" s="6">
        <v>436</v>
      </c>
      <c r="B441" s="11" t="s">
        <v>415</v>
      </c>
      <c r="C441" s="11">
        <f xml:space="preserve">     55600</f>
        <v>55600</v>
      </c>
      <c r="D441" s="11"/>
      <c r="E441" s="17"/>
      <c r="F441" s="12"/>
      <c r="G441" s="8">
        <f t="shared" si="6"/>
        <v>0</v>
      </c>
      <c r="H441" s="1"/>
    </row>
    <row r="442" spans="1:8" ht="15.75" customHeight="1">
      <c r="A442" s="6">
        <v>437</v>
      </c>
      <c r="B442" s="11" t="s">
        <v>416</v>
      </c>
      <c r="C442" s="11">
        <f xml:space="preserve">     49600</f>
        <v>49600</v>
      </c>
      <c r="D442" s="11"/>
      <c r="E442" s="17"/>
      <c r="F442" s="12"/>
      <c r="G442" s="8">
        <f t="shared" si="6"/>
        <v>0</v>
      </c>
      <c r="H442" s="1"/>
    </row>
    <row r="443" spans="1:8" ht="15.75" customHeight="1">
      <c r="A443" s="6">
        <v>438</v>
      </c>
      <c r="B443" s="11" t="s">
        <v>417</v>
      </c>
      <c r="C443" s="11">
        <f xml:space="preserve">     84600</f>
        <v>84600</v>
      </c>
      <c r="D443" s="11"/>
      <c r="E443" s="17"/>
      <c r="F443" s="12"/>
      <c r="G443" s="8">
        <f t="shared" si="6"/>
        <v>0</v>
      </c>
      <c r="H443" s="1"/>
    </row>
    <row r="444" spans="1:8" ht="15.75" customHeight="1">
      <c r="A444" s="6">
        <v>439</v>
      </c>
      <c r="B444" s="11" t="s">
        <v>418</v>
      </c>
      <c r="C444" s="11">
        <f xml:space="preserve">     91500</f>
        <v>91500</v>
      </c>
      <c r="D444" s="11"/>
      <c r="E444" s="17"/>
      <c r="F444" s="12"/>
      <c r="G444" s="8">
        <f t="shared" si="6"/>
        <v>0</v>
      </c>
      <c r="H444" s="1"/>
    </row>
    <row r="445" spans="1:8" ht="15.75" customHeight="1">
      <c r="A445" s="6">
        <v>440</v>
      </c>
      <c r="B445" s="11" t="s">
        <v>419</v>
      </c>
      <c r="C445" s="11">
        <f xml:space="preserve">     67400</f>
        <v>67400</v>
      </c>
      <c r="D445" s="11"/>
      <c r="E445" s="17"/>
      <c r="F445" s="12"/>
      <c r="G445" s="8">
        <f t="shared" si="6"/>
        <v>0</v>
      </c>
      <c r="H445" s="1"/>
    </row>
    <row r="446" spans="1:8" ht="15.75" customHeight="1">
      <c r="A446" s="6">
        <v>441</v>
      </c>
      <c r="B446" s="11" t="s">
        <v>420</v>
      </c>
      <c r="C446" s="11">
        <f xml:space="preserve">     44000</f>
        <v>44000</v>
      </c>
      <c r="D446" s="11"/>
      <c r="E446" s="17"/>
      <c r="F446" s="12"/>
      <c r="G446" s="8">
        <f t="shared" si="6"/>
        <v>0</v>
      </c>
      <c r="H446" s="1"/>
    </row>
    <row r="447" spans="1:8" ht="15.75" customHeight="1">
      <c r="A447" s="6">
        <v>442</v>
      </c>
      <c r="B447" s="11" t="s">
        <v>421</v>
      </c>
      <c r="C447" s="11">
        <f xml:space="preserve">     41700</f>
        <v>41700</v>
      </c>
      <c r="D447" s="11"/>
      <c r="E447" s="17"/>
      <c r="F447" s="12"/>
      <c r="G447" s="8">
        <f t="shared" si="6"/>
        <v>0</v>
      </c>
      <c r="H447" s="1"/>
    </row>
    <row r="448" spans="1:8" ht="15.75" customHeight="1">
      <c r="A448" s="6">
        <v>443</v>
      </c>
      <c r="B448" s="11" t="s">
        <v>421</v>
      </c>
      <c r="C448" s="11">
        <f xml:space="preserve">     41300</f>
        <v>41300</v>
      </c>
      <c r="D448" s="11"/>
      <c r="E448" s="17"/>
      <c r="F448" s="12"/>
      <c r="G448" s="8">
        <f t="shared" si="6"/>
        <v>0</v>
      </c>
      <c r="H448" s="1"/>
    </row>
    <row r="449" spans="1:8" ht="15.75" customHeight="1">
      <c r="A449" s="6">
        <v>444</v>
      </c>
      <c r="B449" s="11" t="s">
        <v>422</v>
      </c>
      <c r="C449" s="11">
        <f xml:space="preserve">     56450</f>
        <v>56450</v>
      </c>
      <c r="D449" s="11"/>
      <c r="E449" s="17"/>
      <c r="F449" s="12"/>
      <c r="G449" s="8">
        <f t="shared" si="6"/>
        <v>0</v>
      </c>
      <c r="H449" s="1"/>
    </row>
    <row r="450" spans="1:8" ht="15.75" customHeight="1">
      <c r="A450" s="6">
        <v>445</v>
      </c>
      <c r="B450" s="11" t="s">
        <v>423</v>
      </c>
      <c r="C450" s="11">
        <f xml:space="preserve">     70000</f>
        <v>70000</v>
      </c>
      <c r="D450" s="11"/>
      <c r="E450" s="17"/>
      <c r="F450" s="12"/>
      <c r="G450" s="8">
        <f t="shared" si="6"/>
        <v>0</v>
      </c>
      <c r="H450" s="1"/>
    </row>
    <row r="451" spans="1:8" ht="15.75" customHeight="1">
      <c r="A451" s="6">
        <v>446</v>
      </c>
      <c r="B451" s="11" t="s">
        <v>424</v>
      </c>
      <c r="C451" s="11">
        <f xml:space="preserve">      3400</f>
        <v>3400</v>
      </c>
      <c r="D451" s="11"/>
      <c r="E451" s="17"/>
      <c r="F451" s="12"/>
      <c r="G451" s="8">
        <f t="shared" si="6"/>
        <v>0</v>
      </c>
      <c r="H451" s="1"/>
    </row>
    <row r="452" spans="1:8" ht="15.75" customHeight="1">
      <c r="A452" s="6">
        <v>447</v>
      </c>
      <c r="B452" s="11" t="s">
        <v>425</v>
      </c>
      <c r="C452" s="11">
        <f xml:space="preserve">      1350</f>
        <v>1350</v>
      </c>
      <c r="D452" s="11"/>
      <c r="E452" s="17"/>
      <c r="F452" s="12"/>
      <c r="G452" s="8">
        <f t="shared" si="6"/>
        <v>0</v>
      </c>
      <c r="H452" s="1"/>
    </row>
    <row r="453" spans="1:8" ht="15.75" customHeight="1">
      <c r="A453" s="6">
        <v>448</v>
      </c>
      <c r="B453" s="11" t="s">
        <v>426</v>
      </c>
      <c r="C453" s="11">
        <f xml:space="preserve">      4850</f>
        <v>4850</v>
      </c>
      <c r="D453" s="11"/>
      <c r="E453" s="17"/>
      <c r="F453" s="12"/>
      <c r="G453" s="8">
        <f t="shared" si="6"/>
        <v>0</v>
      </c>
      <c r="H453" s="1"/>
    </row>
    <row r="454" spans="1:8" ht="15.75" customHeight="1">
      <c r="A454" s="6">
        <v>449</v>
      </c>
      <c r="B454" s="11" t="s">
        <v>427</v>
      </c>
      <c r="C454" s="11">
        <f xml:space="preserve">     72000</f>
        <v>72000</v>
      </c>
      <c r="D454" s="11"/>
      <c r="E454" s="17"/>
      <c r="F454" s="12"/>
      <c r="G454" s="8">
        <f t="shared" ref="G454:G517" si="7">C454*D454+E454*F454</f>
        <v>0</v>
      </c>
      <c r="H454" s="1"/>
    </row>
    <row r="455" spans="1:8" ht="15.75" customHeight="1">
      <c r="A455" s="6">
        <v>450</v>
      </c>
      <c r="B455" s="11" t="s">
        <v>428</v>
      </c>
      <c r="C455" s="11">
        <f xml:space="preserve">      3200</f>
        <v>3200</v>
      </c>
      <c r="D455" s="11"/>
      <c r="E455" s="17"/>
      <c r="F455" s="12"/>
      <c r="G455" s="8">
        <f t="shared" si="7"/>
        <v>0</v>
      </c>
      <c r="H455" s="1"/>
    </row>
    <row r="456" spans="1:8" ht="15.75" customHeight="1">
      <c r="A456" s="6">
        <v>451</v>
      </c>
      <c r="B456" s="11" t="s">
        <v>429</v>
      </c>
      <c r="C456" s="11">
        <f xml:space="preserve">     50750</f>
        <v>50750</v>
      </c>
      <c r="D456" s="11"/>
      <c r="E456" s="17"/>
      <c r="F456" s="12"/>
      <c r="G456" s="8">
        <f t="shared" si="7"/>
        <v>0</v>
      </c>
      <c r="H456" s="1"/>
    </row>
    <row r="457" spans="1:8" ht="15.75" customHeight="1">
      <c r="A457" s="6">
        <v>452</v>
      </c>
      <c r="B457" s="11" t="s">
        <v>430</v>
      </c>
      <c r="C457" s="11">
        <f xml:space="preserve">    103500</f>
        <v>103500</v>
      </c>
      <c r="D457" s="11"/>
      <c r="E457" s="17"/>
      <c r="F457" s="12"/>
      <c r="G457" s="8">
        <f t="shared" si="7"/>
        <v>0</v>
      </c>
      <c r="H457" s="1"/>
    </row>
    <row r="458" spans="1:8" ht="15.75" customHeight="1">
      <c r="A458" s="6">
        <v>453</v>
      </c>
      <c r="B458" s="11" t="s">
        <v>431</v>
      </c>
      <c r="C458" s="11">
        <f xml:space="preserve">    103150</f>
        <v>103150</v>
      </c>
      <c r="D458" s="11"/>
      <c r="E458" s="17"/>
      <c r="F458" s="12"/>
      <c r="G458" s="8">
        <f t="shared" si="7"/>
        <v>0</v>
      </c>
      <c r="H458" s="1"/>
    </row>
    <row r="459" spans="1:8" ht="15.75" customHeight="1">
      <c r="A459" s="6">
        <v>454</v>
      </c>
      <c r="B459" s="11" t="s">
        <v>432</v>
      </c>
      <c r="C459" s="11">
        <f xml:space="preserve">     87500</f>
        <v>87500</v>
      </c>
      <c r="D459" s="11"/>
      <c r="E459" s="17"/>
      <c r="F459" s="12"/>
      <c r="G459" s="8">
        <f t="shared" si="7"/>
        <v>0</v>
      </c>
      <c r="H459" s="1"/>
    </row>
    <row r="460" spans="1:8" ht="15.75" customHeight="1">
      <c r="A460" s="6">
        <v>455</v>
      </c>
      <c r="B460" s="11" t="s">
        <v>433</v>
      </c>
      <c r="C460" s="11">
        <f xml:space="preserve">     65800</f>
        <v>65800</v>
      </c>
      <c r="D460" s="11"/>
      <c r="E460" s="17"/>
      <c r="F460" s="12"/>
      <c r="G460" s="8">
        <f t="shared" si="7"/>
        <v>0</v>
      </c>
      <c r="H460" s="1"/>
    </row>
    <row r="461" spans="1:8" ht="15.75" customHeight="1">
      <c r="A461" s="6">
        <v>456</v>
      </c>
      <c r="B461" s="11" t="s">
        <v>434</v>
      </c>
      <c r="C461" s="11">
        <f xml:space="preserve">    268600</f>
        <v>268600</v>
      </c>
      <c r="D461" s="11"/>
      <c r="E461" s="17"/>
      <c r="F461" s="12"/>
      <c r="G461" s="8">
        <f t="shared" si="7"/>
        <v>0</v>
      </c>
      <c r="H461" s="1"/>
    </row>
    <row r="462" spans="1:8" ht="15.75" customHeight="1">
      <c r="A462" s="6">
        <v>457</v>
      </c>
      <c r="B462" s="11" t="s">
        <v>435</v>
      </c>
      <c r="C462" s="11">
        <f xml:space="preserve">    124950</f>
        <v>124950</v>
      </c>
      <c r="D462" s="11"/>
      <c r="E462" s="17"/>
      <c r="F462" s="12"/>
      <c r="G462" s="8">
        <f t="shared" si="7"/>
        <v>0</v>
      </c>
      <c r="H462" s="1"/>
    </row>
    <row r="463" spans="1:8" ht="15.75" customHeight="1">
      <c r="A463" s="6">
        <v>458</v>
      </c>
      <c r="B463" s="11" t="s">
        <v>436</v>
      </c>
      <c r="C463" s="11">
        <f xml:space="preserve">     50250</f>
        <v>50250</v>
      </c>
      <c r="D463" s="11"/>
      <c r="E463" s="17"/>
      <c r="F463" s="12"/>
      <c r="G463" s="8">
        <f t="shared" si="7"/>
        <v>0</v>
      </c>
      <c r="H463" s="1"/>
    </row>
    <row r="464" spans="1:8" ht="15.75" customHeight="1">
      <c r="A464" s="6">
        <v>459</v>
      </c>
      <c r="B464" s="11" t="s">
        <v>437</v>
      </c>
      <c r="C464" s="11">
        <f xml:space="preserve">     52250</f>
        <v>52250</v>
      </c>
      <c r="D464" s="11"/>
      <c r="E464" s="17"/>
      <c r="F464" s="12"/>
      <c r="G464" s="8">
        <f t="shared" si="7"/>
        <v>0</v>
      </c>
      <c r="H464" s="1"/>
    </row>
    <row r="465" spans="1:8" ht="15.75" customHeight="1">
      <c r="A465" s="6">
        <v>460</v>
      </c>
      <c r="B465" s="11" t="s">
        <v>438</v>
      </c>
      <c r="C465" s="11">
        <f xml:space="preserve">     38900</f>
        <v>38900</v>
      </c>
      <c r="D465" s="11"/>
      <c r="E465" s="17"/>
      <c r="F465" s="12"/>
      <c r="G465" s="8">
        <f t="shared" si="7"/>
        <v>0</v>
      </c>
      <c r="H465" s="1"/>
    </row>
    <row r="466" spans="1:8" ht="15.75" customHeight="1">
      <c r="A466" s="6">
        <v>461</v>
      </c>
      <c r="B466" s="11" t="s">
        <v>439</v>
      </c>
      <c r="C466" s="11">
        <f xml:space="preserve">     38900</f>
        <v>38900</v>
      </c>
      <c r="D466" s="11"/>
      <c r="E466" s="17"/>
      <c r="F466" s="12"/>
      <c r="G466" s="8">
        <f t="shared" si="7"/>
        <v>0</v>
      </c>
      <c r="H466" s="1"/>
    </row>
    <row r="467" spans="1:8" ht="15.75" customHeight="1">
      <c r="A467" s="6">
        <v>462</v>
      </c>
      <c r="B467" s="11" t="s">
        <v>440</v>
      </c>
      <c r="C467" s="11">
        <f xml:space="preserve">     20550</f>
        <v>20550</v>
      </c>
      <c r="D467" s="11"/>
      <c r="E467" s="17"/>
      <c r="F467" s="12"/>
      <c r="G467" s="8">
        <f t="shared" si="7"/>
        <v>0</v>
      </c>
      <c r="H467" s="1"/>
    </row>
    <row r="468" spans="1:8" ht="15.75" customHeight="1">
      <c r="A468" s="6">
        <v>463</v>
      </c>
      <c r="B468" s="11" t="s">
        <v>441</v>
      </c>
      <c r="C468" s="11">
        <f xml:space="preserve">     75400</f>
        <v>75400</v>
      </c>
      <c r="D468" s="11"/>
      <c r="E468" s="17"/>
      <c r="F468" s="12"/>
      <c r="G468" s="8">
        <f t="shared" si="7"/>
        <v>0</v>
      </c>
      <c r="H468" s="1"/>
    </row>
    <row r="469" spans="1:8" ht="15.75" customHeight="1">
      <c r="A469" s="6">
        <v>464</v>
      </c>
      <c r="B469" s="11" t="s">
        <v>442</v>
      </c>
      <c r="C469" s="11">
        <f xml:space="preserve">     55700</f>
        <v>55700</v>
      </c>
      <c r="D469" s="11"/>
      <c r="E469" s="17"/>
      <c r="F469" s="12"/>
      <c r="G469" s="8">
        <f t="shared" si="7"/>
        <v>0</v>
      </c>
      <c r="H469" s="1"/>
    </row>
    <row r="470" spans="1:8" ht="15.75" customHeight="1">
      <c r="A470" s="6">
        <v>465</v>
      </c>
      <c r="B470" s="11" t="s">
        <v>443</v>
      </c>
      <c r="C470" s="11">
        <f xml:space="preserve">     46950</f>
        <v>46950</v>
      </c>
      <c r="D470" s="11"/>
      <c r="E470" s="17"/>
      <c r="F470" s="12"/>
      <c r="G470" s="8">
        <f t="shared" si="7"/>
        <v>0</v>
      </c>
      <c r="H470" s="1"/>
    </row>
    <row r="471" spans="1:8" ht="15.75" customHeight="1">
      <c r="A471" s="6">
        <v>466</v>
      </c>
      <c r="B471" s="11" t="s">
        <v>444</v>
      </c>
      <c r="C471" s="11">
        <f xml:space="preserve">     52200</f>
        <v>52200</v>
      </c>
      <c r="D471" s="11"/>
      <c r="E471" s="17"/>
      <c r="F471" s="12"/>
      <c r="G471" s="8">
        <f t="shared" si="7"/>
        <v>0</v>
      </c>
      <c r="H471" s="1"/>
    </row>
    <row r="472" spans="1:8" ht="15.75" customHeight="1">
      <c r="A472" s="6">
        <v>467</v>
      </c>
      <c r="B472" s="11" t="s">
        <v>445</v>
      </c>
      <c r="C472" s="11">
        <f xml:space="preserve">       770</f>
        <v>770</v>
      </c>
      <c r="D472" s="11"/>
      <c r="E472" s="17"/>
      <c r="F472" s="12"/>
      <c r="G472" s="8">
        <f t="shared" si="7"/>
        <v>0</v>
      </c>
      <c r="H472" s="1"/>
    </row>
    <row r="473" spans="1:8" ht="15.75" customHeight="1">
      <c r="A473" s="6">
        <v>468</v>
      </c>
      <c r="B473" s="11" t="s">
        <v>446</v>
      </c>
      <c r="C473" s="11">
        <f xml:space="preserve">     11300</f>
        <v>11300</v>
      </c>
      <c r="D473" s="11"/>
      <c r="E473" s="17"/>
      <c r="F473" s="12"/>
      <c r="G473" s="8">
        <f t="shared" si="7"/>
        <v>0</v>
      </c>
      <c r="H473" s="1"/>
    </row>
    <row r="474" spans="1:8" ht="15.75" customHeight="1">
      <c r="A474" s="6">
        <v>469</v>
      </c>
      <c r="B474" s="11" t="s">
        <v>447</v>
      </c>
      <c r="C474" s="11">
        <f xml:space="preserve">     11350</f>
        <v>11350</v>
      </c>
      <c r="D474" s="11"/>
      <c r="E474" s="17"/>
      <c r="F474" s="12"/>
      <c r="G474" s="8">
        <f t="shared" si="7"/>
        <v>0</v>
      </c>
      <c r="H474" s="1"/>
    </row>
    <row r="475" spans="1:8" ht="15.75" customHeight="1">
      <c r="A475" s="6">
        <v>470</v>
      </c>
      <c r="B475" s="11" t="s">
        <v>448</v>
      </c>
      <c r="C475" s="11">
        <f xml:space="preserve">     16400</f>
        <v>16400</v>
      </c>
      <c r="D475" s="11"/>
      <c r="E475" s="17"/>
      <c r="F475" s="12"/>
      <c r="G475" s="8">
        <f t="shared" si="7"/>
        <v>0</v>
      </c>
      <c r="H475" s="1"/>
    </row>
    <row r="476" spans="1:8" ht="15.75" customHeight="1">
      <c r="A476" s="6">
        <v>471</v>
      </c>
      <c r="B476" s="11" t="s">
        <v>449</v>
      </c>
      <c r="C476" s="11">
        <f xml:space="preserve">     32350</f>
        <v>32350</v>
      </c>
      <c r="D476" s="11"/>
      <c r="E476" s="17"/>
      <c r="F476" s="12"/>
      <c r="G476" s="8">
        <f t="shared" si="7"/>
        <v>0</v>
      </c>
      <c r="H476" s="1"/>
    </row>
    <row r="477" spans="1:8" ht="15.75" customHeight="1">
      <c r="A477" s="6">
        <v>472</v>
      </c>
      <c r="B477" s="11" t="s">
        <v>450</v>
      </c>
      <c r="C477" s="11">
        <f xml:space="preserve">     47150</f>
        <v>47150</v>
      </c>
      <c r="D477" s="11"/>
      <c r="E477" s="17"/>
      <c r="F477" s="12"/>
      <c r="G477" s="8">
        <f t="shared" si="7"/>
        <v>0</v>
      </c>
      <c r="H477" s="1"/>
    </row>
    <row r="478" spans="1:8" ht="15.75" customHeight="1">
      <c r="A478" s="6">
        <v>473</v>
      </c>
      <c r="B478" s="11" t="s">
        <v>451</v>
      </c>
      <c r="C478" s="11">
        <f xml:space="preserve">    113900</f>
        <v>113900</v>
      </c>
      <c r="D478" s="11"/>
      <c r="E478" s="17"/>
      <c r="F478" s="12"/>
      <c r="G478" s="8">
        <f t="shared" si="7"/>
        <v>0</v>
      </c>
      <c r="H478" s="1"/>
    </row>
    <row r="479" spans="1:8" ht="15.75" customHeight="1">
      <c r="A479" s="6">
        <v>474</v>
      </c>
      <c r="B479" s="11" t="s">
        <v>452</v>
      </c>
      <c r="C479" s="11">
        <f xml:space="preserve">     68700</f>
        <v>68700</v>
      </c>
      <c r="D479" s="11"/>
      <c r="E479" s="17"/>
      <c r="F479" s="12"/>
      <c r="G479" s="8">
        <f t="shared" si="7"/>
        <v>0</v>
      </c>
      <c r="H479" s="1"/>
    </row>
    <row r="480" spans="1:8" ht="15.75" customHeight="1">
      <c r="A480" s="6">
        <v>475</v>
      </c>
      <c r="B480" s="11" t="s">
        <v>453</v>
      </c>
      <c r="C480" s="11">
        <f xml:space="preserve">     78450</f>
        <v>78450</v>
      </c>
      <c r="D480" s="11"/>
      <c r="E480" s="17"/>
      <c r="F480" s="12"/>
      <c r="G480" s="8">
        <f t="shared" si="7"/>
        <v>0</v>
      </c>
      <c r="H480" s="1"/>
    </row>
    <row r="481" spans="1:8" ht="15.75" customHeight="1">
      <c r="A481" s="6">
        <v>476</v>
      </c>
      <c r="B481" s="11" t="s">
        <v>454</v>
      </c>
      <c r="C481" s="11">
        <f xml:space="preserve">    123650</f>
        <v>123650</v>
      </c>
      <c r="D481" s="11"/>
      <c r="E481" s="17"/>
      <c r="F481" s="12"/>
      <c r="G481" s="8">
        <f t="shared" si="7"/>
        <v>0</v>
      </c>
      <c r="H481" s="1"/>
    </row>
    <row r="482" spans="1:8" ht="15.75" customHeight="1">
      <c r="A482" s="6">
        <v>477</v>
      </c>
      <c r="B482" s="11" t="s">
        <v>455</v>
      </c>
      <c r="C482" s="11">
        <f xml:space="preserve">     54450</f>
        <v>54450</v>
      </c>
      <c r="D482" s="11"/>
      <c r="E482" s="17"/>
      <c r="F482" s="12"/>
      <c r="G482" s="8">
        <f t="shared" si="7"/>
        <v>0</v>
      </c>
      <c r="H482" s="1"/>
    </row>
    <row r="483" spans="1:8" ht="15.75" customHeight="1">
      <c r="A483" s="6">
        <v>478</v>
      </c>
      <c r="B483" s="11" t="s">
        <v>456</v>
      </c>
      <c r="C483" s="11">
        <f xml:space="preserve">      7300</f>
        <v>7300</v>
      </c>
      <c r="D483" s="11"/>
      <c r="E483" s="17"/>
      <c r="F483" s="12"/>
      <c r="G483" s="8">
        <f t="shared" si="7"/>
        <v>0</v>
      </c>
      <c r="H483" s="1"/>
    </row>
    <row r="484" spans="1:8" ht="15.75" customHeight="1">
      <c r="A484" s="6">
        <v>479</v>
      </c>
      <c r="B484" s="11" t="s">
        <v>457</v>
      </c>
      <c r="C484" s="11">
        <f xml:space="preserve">     18550</f>
        <v>18550</v>
      </c>
      <c r="D484" s="11"/>
      <c r="E484" s="17"/>
      <c r="F484" s="12"/>
      <c r="G484" s="8">
        <f t="shared" si="7"/>
        <v>0</v>
      </c>
      <c r="H484" s="1"/>
    </row>
    <row r="485" spans="1:8" ht="15.75" customHeight="1">
      <c r="A485" s="6">
        <v>480</v>
      </c>
      <c r="B485" s="11" t="s">
        <v>458</v>
      </c>
      <c r="C485" s="11">
        <f xml:space="preserve">     77110</f>
        <v>77110</v>
      </c>
      <c r="D485" s="11"/>
      <c r="E485" s="17"/>
      <c r="F485" s="12"/>
      <c r="G485" s="8">
        <f t="shared" si="7"/>
        <v>0</v>
      </c>
      <c r="H485" s="1"/>
    </row>
    <row r="486" spans="1:8" ht="15.75" customHeight="1">
      <c r="A486" s="6">
        <v>481</v>
      </c>
      <c r="B486" s="11" t="s">
        <v>459</v>
      </c>
      <c r="C486" s="11">
        <f xml:space="preserve">    104950</f>
        <v>104950</v>
      </c>
      <c r="D486" s="11"/>
      <c r="E486" s="17"/>
      <c r="F486" s="12"/>
      <c r="G486" s="8">
        <f t="shared" si="7"/>
        <v>0</v>
      </c>
      <c r="H486" s="1"/>
    </row>
    <row r="487" spans="1:8" ht="15.75" customHeight="1">
      <c r="A487" s="6">
        <v>482</v>
      </c>
      <c r="B487" s="11" t="s">
        <v>460</v>
      </c>
      <c r="C487" s="11">
        <f xml:space="preserve">     57000</f>
        <v>57000</v>
      </c>
      <c r="D487" s="11"/>
      <c r="E487" s="17"/>
      <c r="F487" s="12"/>
      <c r="G487" s="8">
        <f t="shared" si="7"/>
        <v>0</v>
      </c>
      <c r="H487" s="1"/>
    </row>
    <row r="488" spans="1:8" ht="15.75" customHeight="1">
      <c r="A488" s="6">
        <v>483</v>
      </c>
      <c r="B488" s="11" t="s">
        <v>461</v>
      </c>
      <c r="C488" s="11">
        <f xml:space="preserve">     25950</f>
        <v>25950</v>
      </c>
      <c r="D488" s="11"/>
      <c r="E488" s="17"/>
      <c r="F488" s="12"/>
      <c r="G488" s="8">
        <f t="shared" si="7"/>
        <v>0</v>
      </c>
      <c r="H488" s="1"/>
    </row>
    <row r="489" spans="1:8" ht="15.75" customHeight="1">
      <c r="A489" s="6">
        <v>484</v>
      </c>
      <c r="B489" s="11" t="s">
        <v>462</v>
      </c>
      <c r="C489" s="11">
        <f xml:space="preserve">     42150</f>
        <v>42150</v>
      </c>
      <c r="D489" s="11"/>
      <c r="E489" s="17"/>
      <c r="F489" s="12"/>
      <c r="G489" s="8">
        <f t="shared" si="7"/>
        <v>0</v>
      </c>
      <c r="H489" s="1"/>
    </row>
    <row r="490" spans="1:8" ht="15.75" customHeight="1">
      <c r="A490" s="6">
        <v>485</v>
      </c>
      <c r="B490" s="11" t="s">
        <v>463</v>
      </c>
      <c r="C490" s="11">
        <f xml:space="preserve">     33000</f>
        <v>33000</v>
      </c>
      <c r="D490" s="11"/>
      <c r="E490" s="17"/>
      <c r="F490" s="12"/>
      <c r="G490" s="8">
        <f t="shared" si="7"/>
        <v>0</v>
      </c>
      <c r="H490" s="1"/>
    </row>
    <row r="491" spans="1:8" ht="15.75" customHeight="1">
      <c r="A491" s="6">
        <v>486</v>
      </c>
      <c r="B491" s="11" t="s">
        <v>464</v>
      </c>
      <c r="C491" s="11">
        <f xml:space="preserve">     65050</f>
        <v>65050</v>
      </c>
      <c r="D491" s="11"/>
      <c r="E491" s="17"/>
      <c r="F491" s="12"/>
      <c r="G491" s="8">
        <f t="shared" si="7"/>
        <v>0</v>
      </c>
      <c r="H491" s="1"/>
    </row>
    <row r="492" spans="1:8" ht="15.75" customHeight="1">
      <c r="A492" s="6">
        <v>487</v>
      </c>
      <c r="B492" s="11" t="s">
        <v>465</v>
      </c>
      <c r="C492" s="11">
        <f xml:space="preserve">     42650</f>
        <v>42650</v>
      </c>
      <c r="D492" s="11"/>
      <c r="E492" s="17"/>
      <c r="F492" s="12"/>
      <c r="G492" s="8">
        <f t="shared" si="7"/>
        <v>0</v>
      </c>
      <c r="H492" s="1"/>
    </row>
    <row r="493" spans="1:8" ht="15.75" customHeight="1">
      <c r="A493" s="6">
        <v>488</v>
      </c>
      <c r="B493" s="11" t="s">
        <v>466</v>
      </c>
      <c r="C493" s="11">
        <f xml:space="preserve">     19950</f>
        <v>19950</v>
      </c>
      <c r="D493" s="11"/>
      <c r="E493" s="17"/>
      <c r="F493" s="12"/>
      <c r="G493" s="8">
        <f t="shared" si="7"/>
        <v>0</v>
      </c>
      <c r="H493" s="1"/>
    </row>
    <row r="494" spans="1:8" ht="15.75" customHeight="1">
      <c r="A494" s="6">
        <v>489</v>
      </c>
      <c r="B494" s="11" t="s">
        <v>467</v>
      </c>
      <c r="C494" s="11">
        <f xml:space="preserve">     74800</f>
        <v>74800</v>
      </c>
      <c r="D494" s="11"/>
      <c r="E494" s="17"/>
      <c r="F494" s="12"/>
      <c r="G494" s="8">
        <f t="shared" si="7"/>
        <v>0</v>
      </c>
      <c r="H494" s="1"/>
    </row>
    <row r="495" spans="1:8" ht="15.75" customHeight="1">
      <c r="A495" s="6">
        <v>490</v>
      </c>
      <c r="B495" s="11" t="s">
        <v>468</v>
      </c>
      <c r="C495" s="11">
        <f xml:space="preserve">     75100</f>
        <v>75100</v>
      </c>
      <c r="D495" s="11"/>
      <c r="E495" s="17"/>
      <c r="F495" s="12"/>
      <c r="G495" s="8">
        <f t="shared" si="7"/>
        <v>0</v>
      </c>
      <c r="H495" s="1"/>
    </row>
    <row r="496" spans="1:8" ht="15.75" customHeight="1">
      <c r="A496" s="6">
        <v>491</v>
      </c>
      <c r="B496" s="11" t="s">
        <v>469</v>
      </c>
      <c r="C496" s="11">
        <f xml:space="preserve">     20750</f>
        <v>20750</v>
      </c>
      <c r="D496" s="11"/>
      <c r="E496" s="17"/>
      <c r="F496" s="12"/>
      <c r="G496" s="8">
        <f t="shared" si="7"/>
        <v>0</v>
      </c>
      <c r="H496" s="1"/>
    </row>
    <row r="497" spans="1:8" ht="15.75" customHeight="1">
      <c r="A497" s="6">
        <v>492</v>
      </c>
      <c r="B497" s="11" t="s">
        <v>470</v>
      </c>
      <c r="C497" s="11">
        <f xml:space="preserve">    440100</f>
        <v>440100</v>
      </c>
      <c r="D497" s="11"/>
      <c r="E497" s="17"/>
      <c r="F497" s="12"/>
      <c r="G497" s="8">
        <f t="shared" si="7"/>
        <v>0</v>
      </c>
      <c r="H497" s="1"/>
    </row>
    <row r="498" spans="1:8" ht="15.75" customHeight="1">
      <c r="A498" s="6">
        <v>493</v>
      </c>
      <c r="B498" s="11" t="s">
        <v>471</v>
      </c>
      <c r="C498" s="11">
        <f xml:space="preserve">     32700</f>
        <v>32700</v>
      </c>
      <c r="D498" s="11"/>
      <c r="E498" s="17"/>
      <c r="F498" s="12"/>
      <c r="G498" s="8">
        <f t="shared" si="7"/>
        <v>0</v>
      </c>
      <c r="H498" s="1"/>
    </row>
    <row r="499" spans="1:8" ht="15.75" customHeight="1">
      <c r="A499" s="6">
        <v>494</v>
      </c>
      <c r="B499" s="11" t="s">
        <v>472</v>
      </c>
      <c r="C499" s="11">
        <f xml:space="preserve">     16450</f>
        <v>16450</v>
      </c>
      <c r="D499" s="11"/>
      <c r="E499" s="17"/>
      <c r="F499" s="12"/>
      <c r="G499" s="8">
        <f t="shared" si="7"/>
        <v>0</v>
      </c>
      <c r="H499" s="1"/>
    </row>
    <row r="500" spans="1:8" ht="15.75" customHeight="1">
      <c r="A500" s="6">
        <v>495</v>
      </c>
      <c r="B500" s="11" t="s">
        <v>473</v>
      </c>
      <c r="C500" s="11">
        <f xml:space="preserve">     69950</f>
        <v>69950</v>
      </c>
      <c r="D500" s="11"/>
      <c r="E500" s="17"/>
      <c r="F500" s="12"/>
      <c r="G500" s="8">
        <f t="shared" si="7"/>
        <v>0</v>
      </c>
      <c r="H500" s="1"/>
    </row>
    <row r="501" spans="1:8" ht="15.75" customHeight="1">
      <c r="A501" s="6">
        <v>496</v>
      </c>
      <c r="B501" s="11" t="s">
        <v>474</v>
      </c>
      <c r="C501" s="11">
        <f xml:space="preserve">     58650</f>
        <v>58650</v>
      </c>
      <c r="D501" s="11"/>
      <c r="E501" s="17"/>
      <c r="F501" s="12"/>
      <c r="G501" s="8">
        <f t="shared" si="7"/>
        <v>0</v>
      </c>
      <c r="H501" s="1"/>
    </row>
    <row r="502" spans="1:8" ht="15.75" customHeight="1">
      <c r="A502" s="6">
        <v>497</v>
      </c>
      <c r="B502" s="11" t="s">
        <v>475</v>
      </c>
      <c r="C502" s="11">
        <f xml:space="preserve">     75800</f>
        <v>75800</v>
      </c>
      <c r="D502" s="11"/>
      <c r="E502" s="17"/>
      <c r="F502" s="12"/>
      <c r="G502" s="8">
        <f t="shared" si="7"/>
        <v>0</v>
      </c>
      <c r="H502" s="1"/>
    </row>
    <row r="503" spans="1:8" ht="15.75" customHeight="1">
      <c r="A503" s="6">
        <v>498</v>
      </c>
      <c r="B503" s="11" t="s">
        <v>476</v>
      </c>
      <c r="C503" s="11">
        <f xml:space="preserve">     30700</f>
        <v>30700</v>
      </c>
      <c r="D503" s="11"/>
      <c r="E503" s="17"/>
      <c r="F503" s="12"/>
      <c r="G503" s="8">
        <f t="shared" si="7"/>
        <v>0</v>
      </c>
      <c r="H503" s="1"/>
    </row>
    <row r="504" spans="1:8" ht="15.75" customHeight="1">
      <c r="A504" s="6">
        <v>499</v>
      </c>
      <c r="B504" s="11" t="s">
        <v>477</v>
      </c>
      <c r="C504" s="11">
        <f xml:space="preserve">     46600</f>
        <v>46600</v>
      </c>
      <c r="D504" s="11"/>
      <c r="E504" s="17"/>
      <c r="F504" s="12"/>
      <c r="G504" s="8">
        <f t="shared" si="7"/>
        <v>0</v>
      </c>
      <c r="H504" s="1"/>
    </row>
    <row r="505" spans="1:8" ht="15.75" customHeight="1">
      <c r="A505" s="6">
        <v>500</v>
      </c>
      <c r="B505" s="11" t="s">
        <v>478</v>
      </c>
      <c r="C505" s="11">
        <f xml:space="preserve">     44600</f>
        <v>44600</v>
      </c>
      <c r="D505" s="11"/>
      <c r="E505" s="17"/>
      <c r="F505" s="12"/>
      <c r="G505" s="8">
        <f t="shared" si="7"/>
        <v>0</v>
      </c>
      <c r="H505" s="1"/>
    </row>
    <row r="506" spans="1:8" ht="15.75" customHeight="1">
      <c r="A506" s="6">
        <v>501</v>
      </c>
      <c r="B506" s="11" t="s">
        <v>479</v>
      </c>
      <c r="C506" s="11">
        <f xml:space="preserve">     53500</f>
        <v>53500</v>
      </c>
      <c r="D506" s="11"/>
      <c r="E506" s="17"/>
      <c r="F506" s="12"/>
      <c r="G506" s="8">
        <f t="shared" si="7"/>
        <v>0</v>
      </c>
      <c r="H506" s="1"/>
    </row>
    <row r="507" spans="1:8" ht="15.75" customHeight="1">
      <c r="A507" s="6">
        <v>502</v>
      </c>
      <c r="B507" s="11" t="s">
        <v>480</v>
      </c>
      <c r="C507" s="11">
        <f xml:space="preserve">     70700</f>
        <v>70700</v>
      </c>
      <c r="D507" s="11"/>
      <c r="E507" s="17"/>
      <c r="F507" s="12"/>
      <c r="G507" s="8">
        <f t="shared" si="7"/>
        <v>0</v>
      </c>
      <c r="H507" s="1"/>
    </row>
    <row r="508" spans="1:8" ht="15.75" customHeight="1">
      <c r="A508" s="6">
        <v>503</v>
      </c>
      <c r="B508" s="11" t="s">
        <v>481</v>
      </c>
      <c r="C508" s="11">
        <f xml:space="preserve">     51800</f>
        <v>51800</v>
      </c>
      <c r="D508" s="11"/>
      <c r="E508" s="17"/>
      <c r="F508" s="12"/>
      <c r="G508" s="8">
        <f t="shared" si="7"/>
        <v>0</v>
      </c>
      <c r="H508" s="1"/>
    </row>
    <row r="509" spans="1:8" ht="15.75" customHeight="1">
      <c r="A509" s="6">
        <v>504</v>
      </c>
      <c r="B509" s="11" t="s">
        <v>482</v>
      </c>
      <c r="C509" s="11">
        <f xml:space="preserve">     51800</f>
        <v>51800</v>
      </c>
      <c r="D509" s="11"/>
      <c r="E509" s="17"/>
      <c r="F509" s="12"/>
      <c r="G509" s="8">
        <f t="shared" si="7"/>
        <v>0</v>
      </c>
      <c r="H509" s="1"/>
    </row>
    <row r="510" spans="1:8" ht="15.75" customHeight="1">
      <c r="A510" s="6">
        <v>505</v>
      </c>
      <c r="B510" s="11" t="s">
        <v>483</v>
      </c>
      <c r="C510" s="11">
        <f xml:space="preserve">     51800</f>
        <v>51800</v>
      </c>
      <c r="D510" s="11"/>
      <c r="E510" s="17"/>
      <c r="F510" s="12"/>
      <c r="G510" s="8">
        <f t="shared" si="7"/>
        <v>0</v>
      </c>
      <c r="H510" s="1"/>
    </row>
    <row r="511" spans="1:8" ht="15.75" customHeight="1">
      <c r="A511" s="6">
        <v>506</v>
      </c>
      <c r="B511" s="11" t="s">
        <v>484</v>
      </c>
      <c r="C511" s="11">
        <f xml:space="preserve">     13000</f>
        <v>13000</v>
      </c>
      <c r="D511" s="11"/>
      <c r="E511" s="17"/>
      <c r="F511" s="12"/>
      <c r="G511" s="8">
        <f t="shared" si="7"/>
        <v>0</v>
      </c>
      <c r="H511" s="1"/>
    </row>
    <row r="512" spans="1:8" ht="15.75" customHeight="1">
      <c r="A512" s="6">
        <v>507</v>
      </c>
      <c r="B512" s="11" t="s">
        <v>485</v>
      </c>
      <c r="C512" s="11">
        <f xml:space="preserve">     28950</f>
        <v>28950</v>
      </c>
      <c r="D512" s="11"/>
      <c r="E512" s="17"/>
      <c r="F512" s="12"/>
      <c r="G512" s="8">
        <f t="shared" si="7"/>
        <v>0</v>
      </c>
      <c r="H512" s="1"/>
    </row>
    <row r="513" spans="1:8" ht="15.75" customHeight="1">
      <c r="A513" s="6">
        <v>508</v>
      </c>
      <c r="B513" s="11" t="s">
        <v>486</v>
      </c>
      <c r="C513" s="11">
        <f xml:space="preserve">     31800</f>
        <v>31800</v>
      </c>
      <c r="D513" s="11"/>
      <c r="E513" s="17"/>
      <c r="F513" s="12"/>
      <c r="G513" s="8">
        <f t="shared" si="7"/>
        <v>0</v>
      </c>
      <c r="H513" s="1"/>
    </row>
    <row r="514" spans="1:8" ht="15.75" customHeight="1">
      <c r="A514" s="6">
        <v>509</v>
      </c>
      <c r="B514" s="11" t="s">
        <v>487</v>
      </c>
      <c r="C514" s="11">
        <f xml:space="preserve">     50800</f>
        <v>50800</v>
      </c>
      <c r="D514" s="11"/>
      <c r="E514" s="17"/>
      <c r="F514" s="12"/>
      <c r="G514" s="8">
        <f t="shared" si="7"/>
        <v>0</v>
      </c>
      <c r="H514" s="1"/>
    </row>
    <row r="515" spans="1:8" ht="15.75" customHeight="1">
      <c r="A515" s="6">
        <v>510</v>
      </c>
      <c r="B515" s="11" t="s">
        <v>488</v>
      </c>
      <c r="C515" s="11">
        <f xml:space="preserve">     92500</f>
        <v>92500</v>
      </c>
      <c r="D515" s="11"/>
      <c r="E515" s="17"/>
      <c r="F515" s="12"/>
      <c r="G515" s="8">
        <f t="shared" si="7"/>
        <v>0</v>
      </c>
      <c r="H515" s="1"/>
    </row>
    <row r="516" spans="1:8" ht="15.75" customHeight="1">
      <c r="A516" s="6">
        <v>511</v>
      </c>
      <c r="B516" s="11" t="s">
        <v>489</v>
      </c>
      <c r="C516" s="11">
        <f xml:space="preserve">     36250</f>
        <v>36250</v>
      </c>
      <c r="D516" s="11"/>
      <c r="E516" s="17"/>
      <c r="F516" s="12"/>
      <c r="G516" s="8">
        <f t="shared" si="7"/>
        <v>0</v>
      </c>
      <c r="H516" s="1"/>
    </row>
    <row r="517" spans="1:8" ht="15.75" customHeight="1">
      <c r="A517" s="6">
        <v>512</v>
      </c>
      <c r="B517" s="11" t="s">
        <v>490</v>
      </c>
      <c r="C517" s="11">
        <f xml:space="preserve">     37400</f>
        <v>37400</v>
      </c>
      <c r="D517" s="11"/>
      <c r="E517" s="17"/>
      <c r="F517" s="12"/>
      <c r="G517" s="8">
        <f t="shared" si="7"/>
        <v>0</v>
      </c>
      <c r="H517" s="1"/>
    </row>
    <row r="518" spans="1:8" ht="15.75" customHeight="1">
      <c r="A518" s="6">
        <v>513</v>
      </c>
      <c r="B518" s="11" t="s">
        <v>491</v>
      </c>
      <c r="C518" s="11">
        <f xml:space="preserve">      3150</f>
        <v>3150</v>
      </c>
      <c r="D518" s="11"/>
      <c r="E518" s="17"/>
      <c r="F518" s="12"/>
      <c r="G518" s="8">
        <f t="shared" ref="G518:G581" si="8">C518*D518+E518*F518</f>
        <v>0</v>
      </c>
      <c r="H518" s="1"/>
    </row>
    <row r="519" spans="1:8" ht="15.75" customHeight="1">
      <c r="A519" s="6">
        <v>514</v>
      </c>
      <c r="B519" s="11" t="s">
        <v>492</v>
      </c>
      <c r="C519" s="11">
        <f xml:space="preserve">      7550</f>
        <v>7550</v>
      </c>
      <c r="D519" s="11"/>
      <c r="E519" s="17"/>
      <c r="F519" s="12"/>
      <c r="G519" s="8">
        <f t="shared" si="8"/>
        <v>0</v>
      </c>
      <c r="H519" s="1"/>
    </row>
    <row r="520" spans="1:8" ht="15.75" customHeight="1">
      <c r="A520" s="6">
        <v>515</v>
      </c>
      <c r="B520" s="11" t="s">
        <v>493</v>
      </c>
      <c r="C520" s="11">
        <f xml:space="preserve">      2900</f>
        <v>2900</v>
      </c>
      <c r="D520" s="11"/>
      <c r="E520" s="17"/>
      <c r="F520" s="12"/>
      <c r="G520" s="8">
        <f t="shared" si="8"/>
        <v>0</v>
      </c>
      <c r="H520" s="1"/>
    </row>
    <row r="521" spans="1:8" ht="15.75" customHeight="1">
      <c r="A521" s="6">
        <v>516</v>
      </c>
      <c r="B521" s="11" t="s">
        <v>493</v>
      </c>
      <c r="C521" s="11">
        <f xml:space="preserve">      2900</f>
        <v>2900</v>
      </c>
      <c r="D521" s="11"/>
      <c r="E521" s="17"/>
      <c r="F521" s="12"/>
      <c r="G521" s="8">
        <f t="shared" si="8"/>
        <v>0</v>
      </c>
      <c r="H521" s="1"/>
    </row>
    <row r="522" spans="1:8" ht="15.75" customHeight="1">
      <c r="A522" s="6">
        <v>517</v>
      </c>
      <c r="B522" s="11" t="s">
        <v>494</v>
      </c>
      <c r="C522" s="11">
        <f xml:space="preserve">     10100</f>
        <v>10100</v>
      </c>
      <c r="D522" s="11"/>
      <c r="E522" s="17"/>
      <c r="F522" s="12"/>
      <c r="G522" s="8">
        <f t="shared" si="8"/>
        <v>0</v>
      </c>
      <c r="H522" s="1"/>
    </row>
    <row r="523" spans="1:8" ht="15.75" customHeight="1">
      <c r="A523" s="6">
        <v>518</v>
      </c>
      <c r="B523" s="11" t="s">
        <v>495</v>
      </c>
      <c r="C523" s="11">
        <f xml:space="preserve">      5700</f>
        <v>5700</v>
      </c>
      <c r="D523" s="11"/>
      <c r="E523" s="17"/>
      <c r="F523" s="12"/>
      <c r="G523" s="8">
        <f t="shared" si="8"/>
        <v>0</v>
      </c>
      <c r="H523" s="1"/>
    </row>
    <row r="524" spans="1:8" ht="15.75" customHeight="1">
      <c r="A524" s="6">
        <v>519</v>
      </c>
      <c r="B524" s="11" t="s">
        <v>495</v>
      </c>
      <c r="C524" s="11">
        <f xml:space="preserve">      5700</f>
        <v>5700</v>
      </c>
      <c r="D524" s="11"/>
      <c r="E524" s="17"/>
      <c r="F524" s="12"/>
      <c r="G524" s="8">
        <f t="shared" si="8"/>
        <v>0</v>
      </c>
      <c r="H524" s="1"/>
    </row>
    <row r="525" spans="1:8" ht="15.75" customHeight="1">
      <c r="A525" s="6">
        <v>520</v>
      </c>
      <c r="B525" s="11" t="s">
        <v>496</v>
      </c>
      <c r="C525" s="11">
        <f xml:space="preserve">      2380</f>
        <v>2380</v>
      </c>
      <c r="D525" s="11"/>
      <c r="E525" s="17"/>
      <c r="F525" s="12"/>
      <c r="G525" s="8">
        <f t="shared" si="8"/>
        <v>0</v>
      </c>
      <c r="H525" s="1"/>
    </row>
    <row r="526" spans="1:8" ht="15.75" customHeight="1">
      <c r="A526" s="6">
        <v>521</v>
      </c>
      <c r="B526" s="11" t="s">
        <v>497</v>
      </c>
      <c r="C526" s="11">
        <f xml:space="preserve">     10900</f>
        <v>10900</v>
      </c>
      <c r="D526" s="11"/>
      <c r="E526" s="17"/>
      <c r="F526" s="12"/>
      <c r="G526" s="8">
        <f t="shared" si="8"/>
        <v>0</v>
      </c>
      <c r="H526" s="1"/>
    </row>
    <row r="527" spans="1:8" ht="15.75" customHeight="1">
      <c r="A527" s="6">
        <v>522</v>
      </c>
      <c r="B527" s="11" t="s">
        <v>498</v>
      </c>
      <c r="C527" s="11">
        <f xml:space="preserve">     10700</f>
        <v>10700</v>
      </c>
      <c r="D527" s="11"/>
      <c r="E527" s="17"/>
      <c r="F527" s="12"/>
      <c r="G527" s="8">
        <f t="shared" si="8"/>
        <v>0</v>
      </c>
      <c r="H527" s="1"/>
    </row>
    <row r="528" spans="1:8" ht="15.75" customHeight="1">
      <c r="A528" s="6">
        <v>523</v>
      </c>
      <c r="B528" s="11" t="s">
        <v>499</v>
      </c>
      <c r="C528" s="11">
        <f xml:space="preserve">    160900</f>
        <v>160900</v>
      </c>
      <c r="D528" s="11"/>
      <c r="E528" s="17"/>
      <c r="F528" s="12"/>
      <c r="G528" s="8">
        <f t="shared" si="8"/>
        <v>0</v>
      </c>
      <c r="H528" s="1"/>
    </row>
    <row r="529" spans="1:8" ht="15.75" customHeight="1">
      <c r="A529" s="6">
        <v>524</v>
      </c>
      <c r="B529" s="11" t="s">
        <v>500</v>
      </c>
      <c r="C529" s="11">
        <f xml:space="preserve">    169650</f>
        <v>169650</v>
      </c>
      <c r="D529" s="11"/>
      <c r="E529" s="17"/>
      <c r="F529" s="12"/>
      <c r="G529" s="8">
        <f t="shared" si="8"/>
        <v>0</v>
      </c>
      <c r="H529" s="1"/>
    </row>
    <row r="530" spans="1:8" ht="15.75" customHeight="1">
      <c r="A530" s="6">
        <v>525</v>
      </c>
      <c r="B530" s="11" t="s">
        <v>501</v>
      </c>
      <c r="C530" s="11">
        <f xml:space="preserve">    174850</f>
        <v>174850</v>
      </c>
      <c r="D530" s="11"/>
      <c r="E530" s="17"/>
      <c r="F530" s="12"/>
      <c r="G530" s="8">
        <f t="shared" si="8"/>
        <v>0</v>
      </c>
      <c r="H530" s="1"/>
    </row>
    <row r="531" spans="1:8" ht="15.75" customHeight="1">
      <c r="A531" s="6">
        <v>526</v>
      </c>
      <c r="B531" s="11" t="s">
        <v>502</v>
      </c>
      <c r="C531" s="11">
        <f xml:space="preserve">     40500</f>
        <v>40500</v>
      </c>
      <c r="D531" s="11"/>
      <c r="E531" s="17"/>
      <c r="F531" s="12"/>
      <c r="G531" s="8">
        <f t="shared" si="8"/>
        <v>0</v>
      </c>
      <c r="H531" s="1"/>
    </row>
    <row r="532" spans="1:8" ht="15.75" customHeight="1">
      <c r="A532" s="6">
        <v>527</v>
      </c>
      <c r="B532" s="11" t="s">
        <v>503</v>
      </c>
      <c r="C532" s="11">
        <f xml:space="preserve">     35250</f>
        <v>35250</v>
      </c>
      <c r="D532" s="11"/>
      <c r="E532" s="17"/>
      <c r="F532" s="12"/>
      <c r="G532" s="8">
        <f t="shared" si="8"/>
        <v>0</v>
      </c>
      <c r="H532" s="1"/>
    </row>
    <row r="533" spans="1:8" ht="15.75" customHeight="1">
      <c r="A533" s="6">
        <v>528</v>
      </c>
      <c r="B533" s="11" t="s">
        <v>504</v>
      </c>
      <c r="C533" s="11">
        <f xml:space="preserve">     19850</f>
        <v>19850</v>
      </c>
      <c r="D533" s="11"/>
      <c r="E533" s="17"/>
      <c r="F533" s="12"/>
      <c r="G533" s="8">
        <f t="shared" si="8"/>
        <v>0</v>
      </c>
      <c r="H533" s="1"/>
    </row>
    <row r="534" spans="1:8" ht="15.75" customHeight="1">
      <c r="A534" s="6">
        <v>529</v>
      </c>
      <c r="B534" s="11" t="s">
        <v>505</v>
      </c>
      <c r="C534" s="11">
        <f xml:space="preserve">     33650</f>
        <v>33650</v>
      </c>
      <c r="D534" s="11"/>
      <c r="E534" s="17"/>
      <c r="F534" s="12"/>
      <c r="G534" s="8">
        <f t="shared" si="8"/>
        <v>0</v>
      </c>
      <c r="H534" s="1"/>
    </row>
    <row r="535" spans="1:8" ht="15.75" customHeight="1">
      <c r="A535" s="6">
        <v>530</v>
      </c>
      <c r="B535" s="11" t="s">
        <v>506</v>
      </c>
      <c r="C535" s="11">
        <f xml:space="preserve">     49500</f>
        <v>49500</v>
      </c>
      <c r="D535" s="11"/>
      <c r="E535" s="17"/>
      <c r="F535" s="12"/>
      <c r="G535" s="8">
        <f t="shared" si="8"/>
        <v>0</v>
      </c>
      <c r="H535" s="1"/>
    </row>
    <row r="536" spans="1:8" ht="15.75" customHeight="1">
      <c r="A536" s="6">
        <v>531</v>
      </c>
      <c r="B536" s="11" t="s">
        <v>506</v>
      </c>
      <c r="C536" s="11">
        <f xml:space="preserve">     49500</f>
        <v>49500</v>
      </c>
      <c r="D536" s="11"/>
      <c r="E536" s="17"/>
      <c r="F536" s="12"/>
      <c r="G536" s="8">
        <f t="shared" si="8"/>
        <v>0</v>
      </c>
      <c r="H536" s="1"/>
    </row>
    <row r="537" spans="1:8" ht="15.75" customHeight="1">
      <c r="A537" s="6">
        <v>532</v>
      </c>
      <c r="B537" s="11" t="s">
        <v>507</v>
      </c>
      <c r="C537" s="11">
        <f xml:space="preserve">     97800</f>
        <v>97800</v>
      </c>
      <c r="D537" s="11"/>
      <c r="E537" s="17"/>
      <c r="F537" s="12"/>
      <c r="G537" s="8">
        <f t="shared" si="8"/>
        <v>0</v>
      </c>
      <c r="H537" s="1"/>
    </row>
    <row r="538" spans="1:8" ht="15.75" customHeight="1">
      <c r="A538" s="6">
        <v>533</v>
      </c>
      <c r="B538" s="11" t="s">
        <v>508</v>
      </c>
      <c r="C538" s="11">
        <f xml:space="preserve">      4450</f>
        <v>4450</v>
      </c>
      <c r="D538" s="11"/>
      <c r="E538" s="17"/>
      <c r="F538" s="12"/>
      <c r="G538" s="8">
        <f t="shared" si="8"/>
        <v>0</v>
      </c>
      <c r="H538" s="1"/>
    </row>
    <row r="539" spans="1:8" ht="15.75" customHeight="1">
      <c r="A539" s="6">
        <v>534</v>
      </c>
      <c r="B539" s="11" t="s">
        <v>509</v>
      </c>
      <c r="C539" s="11">
        <f xml:space="preserve">     10600</f>
        <v>10600</v>
      </c>
      <c r="D539" s="11"/>
      <c r="E539" s="17"/>
      <c r="F539" s="12"/>
      <c r="G539" s="8">
        <f t="shared" si="8"/>
        <v>0</v>
      </c>
      <c r="H539" s="1"/>
    </row>
    <row r="540" spans="1:8" ht="15.75" customHeight="1">
      <c r="A540" s="6">
        <v>535</v>
      </c>
      <c r="B540" s="11" t="s">
        <v>510</v>
      </c>
      <c r="C540" s="11">
        <f xml:space="preserve">      1400</f>
        <v>1400</v>
      </c>
      <c r="D540" s="11"/>
      <c r="E540" s="17"/>
      <c r="F540" s="12"/>
      <c r="G540" s="8">
        <f t="shared" si="8"/>
        <v>0</v>
      </c>
      <c r="H540" s="1"/>
    </row>
    <row r="541" spans="1:8" ht="15.75" customHeight="1">
      <c r="A541" s="6">
        <v>536</v>
      </c>
      <c r="B541" s="11" t="s">
        <v>511</v>
      </c>
      <c r="C541" s="11">
        <f xml:space="preserve">      6750</f>
        <v>6750</v>
      </c>
      <c r="D541" s="11"/>
      <c r="E541" s="17"/>
      <c r="F541" s="12"/>
      <c r="G541" s="8">
        <f t="shared" si="8"/>
        <v>0</v>
      </c>
      <c r="H541" s="1"/>
    </row>
    <row r="542" spans="1:8" ht="15.75" customHeight="1">
      <c r="A542" s="6">
        <v>537</v>
      </c>
      <c r="B542" s="11" t="s">
        <v>512</v>
      </c>
      <c r="C542" s="11">
        <f xml:space="preserve">     38500</f>
        <v>38500</v>
      </c>
      <c r="D542" s="11"/>
      <c r="E542" s="17"/>
      <c r="F542" s="12"/>
      <c r="G542" s="8">
        <f t="shared" si="8"/>
        <v>0</v>
      </c>
      <c r="H542" s="1"/>
    </row>
    <row r="543" spans="1:8" ht="15.75" customHeight="1">
      <c r="A543" s="6">
        <v>538</v>
      </c>
      <c r="B543" s="11" t="s">
        <v>513</v>
      </c>
      <c r="C543" s="11">
        <f xml:space="preserve">     47100</f>
        <v>47100</v>
      </c>
      <c r="D543" s="11"/>
      <c r="E543" s="17"/>
      <c r="F543" s="12"/>
      <c r="G543" s="8">
        <f t="shared" si="8"/>
        <v>0</v>
      </c>
      <c r="H543" s="1"/>
    </row>
    <row r="544" spans="1:8" ht="15.75" customHeight="1">
      <c r="A544" s="6">
        <v>539</v>
      </c>
      <c r="B544" s="11" t="s">
        <v>514</v>
      </c>
      <c r="C544" s="11">
        <f xml:space="preserve">     25100</f>
        <v>25100</v>
      </c>
      <c r="D544" s="11"/>
      <c r="E544" s="17"/>
      <c r="F544" s="12"/>
      <c r="G544" s="8">
        <f t="shared" si="8"/>
        <v>0</v>
      </c>
      <c r="H544" s="1"/>
    </row>
    <row r="545" spans="1:8" ht="15.75" customHeight="1">
      <c r="A545" s="6">
        <v>540</v>
      </c>
      <c r="B545" s="11" t="s">
        <v>515</v>
      </c>
      <c r="C545" s="11">
        <f xml:space="preserve">     52800</f>
        <v>52800</v>
      </c>
      <c r="D545" s="11"/>
      <c r="E545" s="17"/>
      <c r="F545" s="12"/>
      <c r="G545" s="8">
        <f t="shared" si="8"/>
        <v>0</v>
      </c>
      <c r="H545" s="1"/>
    </row>
    <row r="546" spans="1:8" ht="15.75" customHeight="1">
      <c r="A546" s="6">
        <v>541</v>
      </c>
      <c r="B546" s="11" t="s">
        <v>516</v>
      </c>
      <c r="C546" s="11">
        <f xml:space="preserve">     22500</f>
        <v>22500</v>
      </c>
      <c r="D546" s="11"/>
      <c r="E546" s="17"/>
      <c r="F546" s="12"/>
      <c r="G546" s="8">
        <f t="shared" si="8"/>
        <v>0</v>
      </c>
      <c r="H546" s="1"/>
    </row>
    <row r="547" spans="1:8" ht="15.75" customHeight="1">
      <c r="A547" s="6">
        <v>542</v>
      </c>
      <c r="B547" s="11" t="s">
        <v>517</v>
      </c>
      <c r="C547" s="11">
        <f xml:space="preserve">     40350</f>
        <v>40350</v>
      </c>
      <c r="D547" s="11"/>
      <c r="E547" s="17"/>
      <c r="F547" s="12"/>
      <c r="G547" s="8">
        <f t="shared" si="8"/>
        <v>0</v>
      </c>
      <c r="H547" s="1"/>
    </row>
    <row r="548" spans="1:8" ht="15.75" customHeight="1">
      <c r="A548" s="6">
        <v>543</v>
      </c>
      <c r="B548" s="11" t="s">
        <v>518</v>
      </c>
      <c r="C548" s="11">
        <f xml:space="preserve">     65000</f>
        <v>65000</v>
      </c>
      <c r="D548" s="11"/>
      <c r="E548" s="17"/>
      <c r="F548" s="12"/>
      <c r="G548" s="8">
        <f t="shared" si="8"/>
        <v>0</v>
      </c>
      <c r="H548" s="1"/>
    </row>
    <row r="549" spans="1:8" ht="15.75" customHeight="1">
      <c r="A549" s="6">
        <v>544</v>
      </c>
      <c r="B549" s="11" t="s">
        <v>519</v>
      </c>
      <c r="C549" s="11">
        <f xml:space="preserve">     52000</f>
        <v>52000</v>
      </c>
      <c r="D549" s="11"/>
      <c r="E549" s="17"/>
      <c r="F549" s="12"/>
      <c r="G549" s="8">
        <f t="shared" si="8"/>
        <v>0</v>
      </c>
      <c r="H549" s="1"/>
    </row>
    <row r="550" spans="1:8" ht="15.75" customHeight="1">
      <c r="A550" s="6">
        <v>545</v>
      </c>
      <c r="B550" s="11" t="s">
        <v>520</v>
      </c>
      <c r="C550" s="11">
        <f xml:space="preserve">     79900</f>
        <v>79900</v>
      </c>
      <c r="D550" s="11"/>
      <c r="E550" s="17"/>
      <c r="F550" s="12"/>
      <c r="G550" s="8">
        <f t="shared" si="8"/>
        <v>0</v>
      </c>
      <c r="H550" s="1"/>
    </row>
    <row r="551" spans="1:8" ht="15.75" customHeight="1">
      <c r="A551" s="6">
        <v>546</v>
      </c>
      <c r="B551" s="11" t="s">
        <v>520</v>
      </c>
      <c r="C551" s="11">
        <f xml:space="preserve">     77500</f>
        <v>77500</v>
      </c>
      <c r="D551" s="11"/>
      <c r="E551" s="17"/>
      <c r="F551" s="12"/>
      <c r="G551" s="8">
        <f t="shared" si="8"/>
        <v>0</v>
      </c>
      <c r="H551" s="1"/>
    </row>
    <row r="552" spans="1:8" ht="15.75" customHeight="1">
      <c r="A552" s="6">
        <v>547</v>
      </c>
      <c r="B552" s="11" t="s">
        <v>521</v>
      </c>
      <c r="C552" s="11">
        <f xml:space="preserve">     19200</f>
        <v>19200</v>
      </c>
      <c r="D552" s="11"/>
      <c r="E552" s="17"/>
      <c r="F552" s="12"/>
      <c r="G552" s="8">
        <f t="shared" si="8"/>
        <v>0</v>
      </c>
      <c r="H552" s="1"/>
    </row>
    <row r="553" spans="1:8" ht="15.75" customHeight="1">
      <c r="A553" s="6">
        <v>548</v>
      </c>
      <c r="B553" s="11" t="s">
        <v>521</v>
      </c>
      <c r="C553" s="11">
        <f xml:space="preserve">     19200</f>
        <v>19200</v>
      </c>
      <c r="D553" s="11"/>
      <c r="E553" s="17"/>
      <c r="F553" s="12"/>
      <c r="G553" s="8">
        <f t="shared" si="8"/>
        <v>0</v>
      </c>
      <c r="H553" s="1"/>
    </row>
    <row r="554" spans="1:8" ht="15.75" customHeight="1">
      <c r="A554" s="6">
        <v>549</v>
      </c>
      <c r="B554" s="11" t="s">
        <v>522</v>
      </c>
      <c r="C554" s="11">
        <f xml:space="preserve">     21050</f>
        <v>21050</v>
      </c>
      <c r="D554" s="11"/>
      <c r="E554" s="17"/>
      <c r="F554" s="12"/>
      <c r="G554" s="8">
        <f t="shared" si="8"/>
        <v>0</v>
      </c>
      <c r="H554" s="1"/>
    </row>
    <row r="555" spans="1:8" ht="15.75" customHeight="1">
      <c r="A555" s="6">
        <v>550</v>
      </c>
      <c r="B555" s="11" t="s">
        <v>523</v>
      </c>
      <c r="C555" s="11">
        <f xml:space="preserve">      2750</f>
        <v>2750</v>
      </c>
      <c r="D555" s="11"/>
      <c r="E555" s="17"/>
      <c r="F555" s="12"/>
      <c r="G555" s="8">
        <f t="shared" si="8"/>
        <v>0</v>
      </c>
      <c r="H555" s="1"/>
    </row>
    <row r="556" spans="1:8" ht="15.75" customHeight="1">
      <c r="A556" s="6">
        <v>551</v>
      </c>
      <c r="B556" s="11" t="s">
        <v>524</v>
      </c>
      <c r="C556" s="11">
        <f xml:space="preserve">     11200</f>
        <v>11200</v>
      </c>
      <c r="D556" s="11"/>
      <c r="E556" s="17"/>
      <c r="F556" s="12"/>
      <c r="G556" s="8">
        <f t="shared" si="8"/>
        <v>0</v>
      </c>
      <c r="H556" s="1"/>
    </row>
    <row r="557" spans="1:8" ht="15.75" customHeight="1">
      <c r="A557" s="6">
        <v>552</v>
      </c>
      <c r="B557" s="11" t="s">
        <v>525</v>
      </c>
      <c r="C557" s="11">
        <f xml:space="preserve">     20350</f>
        <v>20350</v>
      </c>
      <c r="D557" s="11"/>
      <c r="E557" s="17"/>
      <c r="F557" s="12"/>
      <c r="G557" s="8">
        <f t="shared" si="8"/>
        <v>0</v>
      </c>
      <c r="H557" s="1"/>
    </row>
    <row r="558" spans="1:8" ht="15.75" customHeight="1">
      <c r="A558" s="6">
        <v>553</v>
      </c>
      <c r="B558" s="11" t="s">
        <v>526</v>
      </c>
      <c r="C558" s="11">
        <f xml:space="preserve">     13950</f>
        <v>13950</v>
      </c>
      <c r="D558" s="11"/>
      <c r="E558" s="17"/>
      <c r="F558" s="12"/>
      <c r="G558" s="8">
        <f t="shared" si="8"/>
        <v>0</v>
      </c>
      <c r="H558" s="1"/>
    </row>
    <row r="559" spans="1:8" ht="15.75" customHeight="1">
      <c r="A559" s="6">
        <v>554</v>
      </c>
      <c r="B559" s="11" t="s">
        <v>527</v>
      </c>
      <c r="C559" s="11">
        <f xml:space="preserve">     27300</f>
        <v>27300</v>
      </c>
      <c r="D559" s="11"/>
      <c r="E559" s="17"/>
      <c r="F559" s="12"/>
      <c r="G559" s="8">
        <f t="shared" si="8"/>
        <v>0</v>
      </c>
      <c r="H559" s="1"/>
    </row>
    <row r="560" spans="1:8" ht="15.75" customHeight="1">
      <c r="A560" s="6">
        <v>555</v>
      </c>
      <c r="B560" s="11" t="s">
        <v>528</v>
      </c>
      <c r="C560" s="11">
        <f xml:space="preserve">     17400</f>
        <v>17400</v>
      </c>
      <c r="D560" s="11"/>
      <c r="E560" s="17"/>
      <c r="F560" s="12"/>
      <c r="G560" s="8">
        <f t="shared" si="8"/>
        <v>0</v>
      </c>
      <c r="H560" s="1"/>
    </row>
    <row r="561" spans="1:8" ht="15.75" customHeight="1">
      <c r="A561" s="6">
        <v>556</v>
      </c>
      <c r="B561" s="11" t="s">
        <v>529</v>
      </c>
      <c r="C561" s="11">
        <f xml:space="preserve">     70850</f>
        <v>70850</v>
      </c>
      <c r="D561" s="11"/>
      <c r="E561" s="17"/>
      <c r="F561" s="12"/>
      <c r="G561" s="8">
        <f t="shared" si="8"/>
        <v>0</v>
      </c>
      <c r="H561" s="1"/>
    </row>
    <row r="562" spans="1:8" ht="15.75" customHeight="1">
      <c r="A562" s="6">
        <v>557</v>
      </c>
      <c r="B562" s="11" t="s">
        <v>530</v>
      </c>
      <c r="C562" s="11">
        <f xml:space="preserve">     69750</f>
        <v>69750</v>
      </c>
      <c r="D562" s="11"/>
      <c r="E562" s="17"/>
      <c r="F562" s="12"/>
      <c r="G562" s="8">
        <f t="shared" si="8"/>
        <v>0</v>
      </c>
      <c r="H562" s="1"/>
    </row>
    <row r="563" spans="1:8" ht="15.75" customHeight="1">
      <c r="A563" s="6">
        <v>558</v>
      </c>
      <c r="B563" s="11" t="s">
        <v>531</v>
      </c>
      <c r="C563" s="11">
        <f xml:space="preserve">    224000</f>
        <v>224000</v>
      </c>
      <c r="D563" s="11"/>
      <c r="E563" s="17"/>
      <c r="F563" s="12"/>
      <c r="G563" s="8">
        <f t="shared" si="8"/>
        <v>0</v>
      </c>
      <c r="H563" s="1"/>
    </row>
    <row r="564" spans="1:8" ht="15.75" customHeight="1">
      <c r="A564" s="6">
        <v>559</v>
      </c>
      <c r="B564" s="11" t="s">
        <v>532</v>
      </c>
      <c r="C564" s="11">
        <f xml:space="preserve">    104100</f>
        <v>104100</v>
      </c>
      <c r="D564" s="11"/>
      <c r="E564" s="17"/>
      <c r="F564" s="12"/>
      <c r="G564" s="8">
        <f t="shared" si="8"/>
        <v>0</v>
      </c>
      <c r="H564" s="1"/>
    </row>
    <row r="565" spans="1:8" ht="15.75" customHeight="1">
      <c r="A565" s="6">
        <v>560</v>
      </c>
      <c r="B565" s="11" t="s">
        <v>533</v>
      </c>
      <c r="C565" s="11">
        <f xml:space="preserve">     89550</f>
        <v>89550</v>
      </c>
      <c r="D565" s="11"/>
      <c r="E565" s="17"/>
      <c r="F565" s="12"/>
      <c r="G565" s="8">
        <f t="shared" si="8"/>
        <v>0</v>
      </c>
      <c r="H565" s="1"/>
    </row>
    <row r="566" spans="1:8" ht="15.75" customHeight="1">
      <c r="A566" s="6">
        <v>561</v>
      </c>
      <c r="B566" s="11" t="s">
        <v>534</v>
      </c>
      <c r="C566" s="11">
        <f xml:space="preserve">      6100</f>
        <v>6100</v>
      </c>
      <c r="D566" s="11"/>
      <c r="E566" s="17"/>
      <c r="F566" s="12"/>
      <c r="G566" s="8">
        <f t="shared" si="8"/>
        <v>0</v>
      </c>
      <c r="H566" s="1"/>
    </row>
    <row r="567" spans="1:8" ht="15.75" customHeight="1">
      <c r="A567" s="6">
        <v>562</v>
      </c>
      <c r="B567" s="11" t="s">
        <v>535</v>
      </c>
      <c r="C567" s="11">
        <f xml:space="preserve">     82200</f>
        <v>82200</v>
      </c>
      <c r="D567" s="11"/>
      <c r="E567" s="17"/>
      <c r="F567" s="12"/>
      <c r="G567" s="8">
        <f t="shared" si="8"/>
        <v>0</v>
      </c>
      <c r="H567" s="1"/>
    </row>
    <row r="568" spans="1:8" ht="15.75" customHeight="1">
      <c r="A568" s="6">
        <v>563</v>
      </c>
      <c r="B568" s="11" t="s">
        <v>536</v>
      </c>
      <c r="C568" s="11">
        <f xml:space="preserve">    298500</f>
        <v>298500</v>
      </c>
      <c r="D568" s="11"/>
      <c r="E568" s="17"/>
      <c r="F568" s="12"/>
      <c r="G568" s="8">
        <f t="shared" si="8"/>
        <v>0</v>
      </c>
      <c r="H568" s="1"/>
    </row>
    <row r="569" spans="1:8" ht="15.75" customHeight="1">
      <c r="A569" s="6">
        <v>564</v>
      </c>
      <c r="B569" s="11" t="s">
        <v>537</v>
      </c>
      <c r="C569" s="11">
        <f xml:space="preserve">     94850</f>
        <v>94850</v>
      </c>
      <c r="D569" s="11"/>
      <c r="E569" s="17"/>
      <c r="F569" s="12"/>
      <c r="G569" s="8">
        <f t="shared" si="8"/>
        <v>0</v>
      </c>
      <c r="H569" s="1"/>
    </row>
    <row r="570" spans="1:8" ht="15.75" customHeight="1">
      <c r="A570" s="6">
        <v>565</v>
      </c>
      <c r="B570" s="11" t="s">
        <v>538</v>
      </c>
      <c r="C570" s="11">
        <f xml:space="preserve">    101900</f>
        <v>101900</v>
      </c>
      <c r="D570" s="11"/>
      <c r="E570" s="17"/>
      <c r="F570" s="12"/>
      <c r="G570" s="8">
        <f t="shared" si="8"/>
        <v>0</v>
      </c>
      <c r="H570" s="1"/>
    </row>
    <row r="571" spans="1:8" ht="15.75" customHeight="1">
      <c r="A571" s="6">
        <v>566</v>
      </c>
      <c r="B571" s="11" t="s">
        <v>539</v>
      </c>
      <c r="C571" s="11">
        <f xml:space="preserve">      8750</f>
        <v>8750</v>
      </c>
      <c r="D571" s="11"/>
      <c r="E571" s="17"/>
      <c r="F571" s="12"/>
      <c r="G571" s="8">
        <f t="shared" si="8"/>
        <v>0</v>
      </c>
      <c r="H571" s="1"/>
    </row>
    <row r="572" spans="1:8" ht="15.75" customHeight="1">
      <c r="A572" s="6">
        <v>567</v>
      </c>
      <c r="B572" s="11" t="s">
        <v>540</v>
      </c>
      <c r="C572" s="11">
        <f xml:space="preserve">      7100</f>
        <v>7100</v>
      </c>
      <c r="D572" s="11"/>
      <c r="E572" s="17"/>
      <c r="F572" s="12"/>
      <c r="G572" s="8">
        <f t="shared" si="8"/>
        <v>0</v>
      </c>
      <c r="H572" s="1"/>
    </row>
    <row r="573" spans="1:8" ht="15.75" customHeight="1">
      <c r="A573" s="6">
        <v>568</v>
      </c>
      <c r="B573" s="11" t="s">
        <v>541</v>
      </c>
      <c r="C573" s="11">
        <f xml:space="preserve">      3800</f>
        <v>3800</v>
      </c>
      <c r="D573" s="11"/>
      <c r="E573" s="17"/>
      <c r="F573" s="12"/>
      <c r="G573" s="8">
        <f t="shared" si="8"/>
        <v>0</v>
      </c>
      <c r="H573" s="1"/>
    </row>
    <row r="574" spans="1:8" ht="15.75" customHeight="1">
      <c r="A574" s="6">
        <v>569</v>
      </c>
      <c r="B574" s="11" t="s">
        <v>542</v>
      </c>
      <c r="C574" s="11">
        <f xml:space="preserve">     62950</f>
        <v>62950</v>
      </c>
      <c r="D574" s="11"/>
      <c r="E574" s="17"/>
      <c r="F574" s="12"/>
      <c r="G574" s="8">
        <f t="shared" si="8"/>
        <v>0</v>
      </c>
      <c r="H574" s="1"/>
    </row>
    <row r="575" spans="1:8" ht="15.75" customHeight="1">
      <c r="A575" s="6">
        <v>570</v>
      </c>
      <c r="B575" s="11" t="s">
        <v>543</v>
      </c>
      <c r="C575" s="11">
        <f xml:space="preserve">     21850</f>
        <v>21850</v>
      </c>
      <c r="D575" s="11"/>
      <c r="E575" s="17"/>
      <c r="F575" s="12"/>
      <c r="G575" s="8">
        <f t="shared" si="8"/>
        <v>0</v>
      </c>
      <c r="H575" s="1"/>
    </row>
    <row r="576" spans="1:8" ht="15.75" customHeight="1">
      <c r="A576" s="6">
        <v>571</v>
      </c>
      <c r="B576" s="11" t="s">
        <v>544</v>
      </c>
      <c r="C576" s="11">
        <f xml:space="preserve">     21850</f>
        <v>21850</v>
      </c>
      <c r="D576" s="11"/>
      <c r="E576" s="17"/>
      <c r="F576" s="12"/>
      <c r="G576" s="8">
        <f t="shared" si="8"/>
        <v>0</v>
      </c>
      <c r="H576" s="1"/>
    </row>
    <row r="577" spans="1:8" ht="15.75" customHeight="1">
      <c r="A577" s="6">
        <v>572</v>
      </c>
      <c r="B577" s="11" t="s">
        <v>545</v>
      </c>
      <c r="C577" s="11">
        <f xml:space="preserve">     35900</f>
        <v>35900</v>
      </c>
      <c r="D577" s="11"/>
      <c r="E577" s="17"/>
      <c r="F577" s="12"/>
      <c r="G577" s="8">
        <f t="shared" si="8"/>
        <v>0</v>
      </c>
      <c r="H577" s="1"/>
    </row>
    <row r="578" spans="1:8" ht="15.75" customHeight="1">
      <c r="A578" s="6">
        <v>573</v>
      </c>
      <c r="B578" s="11" t="s">
        <v>546</v>
      </c>
      <c r="C578" s="11">
        <f xml:space="preserve">     21900</f>
        <v>21900</v>
      </c>
      <c r="D578" s="11"/>
      <c r="E578" s="17"/>
      <c r="F578" s="12"/>
      <c r="G578" s="8">
        <f t="shared" si="8"/>
        <v>0</v>
      </c>
      <c r="H578" s="1"/>
    </row>
    <row r="579" spans="1:8" ht="15.75" customHeight="1">
      <c r="A579" s="6">
        <v>574</v>
      </c>
      <c r="B579" s="11" t="s">
        <v>546</v>
      </c>
      <c r="C579" s="11">
        <f xml:space="preserve">     21900</f>
        <v>21900</v>
      </c>
      <c r="D579" s="11"/>
      <c r="E579" s="17"/>
      <c r="F579" s="12"/>
      <c r="G579" s="8">
        <f t="shared" si="8"/>
        <v>0</v>
      </c>
      <c r="H579" s="1"/>
    </row>
    <row r="580" spans="1:8" ht="15.75" customHeight="1">
      <c r="A580" s="6">
        <v>575</v>
      </c>
      <c r="B580" s="11" t="s">
        <v>547</v>
      </c>
      <c r="C580" s="11">
        <f xml:space="preserve">      2400</f>
        <v>2400</v>
      </c>
      <c r="D580" s="11"/>
      <c r="E580" s="17"/>
      <c r="F580" s="12"/>
      <c r="G580" s="8">
        <f t="shared" si="8"/>
        <v>0</v>
      </c>
      <c r="H580" s="1"/>
    </row>
    <row r="581" spans="1:8" ht="15.75" customHeight="1">
      <c r="A581" s="6">
        <v>576</v>
      </c>
      <c r="B581" s="11" t="s">
        <v>548</v>
      </c>
      <c r="C581" s="11">
        <f xml:space="preserve">      2400</f>
        <v>2400</v>
      </c>
      <c r="D581" s="11"/>
      <c r="E581" s="17"/>
      <c r="F581" s="12"/>
      <c r="G581" s="8">
        <f t="shared" si="8"/>
        <v>0</v>
      </c>
      <c r="H581" s="1"/>
    </row>
    <row r="582" spans="1:8" ht="15.75" customHeight="1">
      <c r="A582" s="6">
        <v>577</v>
      </c>
      <c r="B582" s="11" t="s">
        <v>549</v>
      </c>
      <c r="C582" s="11">
        <f xml:space="preserve">      2510</f>
        <v>2510</v>
      </c>
      <c r="D582" s="11"/>
      <c r="E582" s="17"/>
      <c r="F582" s="12"/>
      <c r="G582" s="8">
        <f t="shared" ref="G582:G644" si="9">C582*D582+E582*F582</f>
        <v>0</v>
      </c>
      <c r="H582" s="1"/>
    </row>
    <row r="583" spans="1:8" ht="15.75" customHeight="1">
      <c r="A583" s="6">
        <v>578</v>
      </c>
      <c r="B583" s="11" t="s">
        <v>550</v>
      </c>
      <c r="C583" s="11">
        <f xml:space="preserve">     30000</f>
        <v>30000</v>
      </c>
      <c r="D583" s="11"/>
      <c r="E583" s="17"/>
      <c r="F583" s="12"/>
      <c r="G583" s="8">
        <f t="shared" si="9"/>
        <v>0</v>
      </c>
      <c r="H583" s="1"/>
    </row>
    <row r="584" spans="1:8" ht="15.75" customHeight="1">
      <c r="A584" s="6">
        <v>579</v>
      </c>
      <c r="B584" s="11" t="s">
        <v>551</v>
      </c>
      <c r="C584" s="11">
        <f xml:space="preserve">     48700</f>
        <v>48700</v>
      </c>
      <c r="D584" s="11"/>
      <c r="E584" s="17"/>
      <c r="F584" s="12"/>
      <c r="G584" s="8">
        <f t="shared" si="9"/>
        <v>0</v>
      </c>
      <c r="H584" s="1"/>
    </row>
    <row r="585" spans="1:8" ht="15.75" customHeight="1">
      <c r="A585" s="6">
        <v>580</v>
      </c>
      <c r="B585" s="11" t="s">
        <v>552</v>
      </c>
      <c r="C585" s="11">
        <f xml:space="preserve">     40750</f>
        <v>40750</v>
      </c>
      <c r="D585" s="11"/>
      <c r="E585" s="17"/>
      <c r="F585" s="12"/>
      <c r="G585" s="8">
        <f t="shared" si="9"/>
        <v>0</v>
      </c>
      <c r="H585" s="1"/>
    </row>
    <row r="586" spans="1:8" ht="15.75" customHeight="1">
      <c r="A586" s="6">
        <v>581</v>
      </c>
      <c r="B586" s="11" t="s">
        <v>553</v>
      </c>
      <c r="C586" s="11">
        <f xml:space="preserve">    112450</f>
        <v>112450</v>
      </c>
      <c r="D586" s="11"/>
      <c r="E586" s="17"/>
      <c r="F586" s="12"/>
      <c r="G586" s="8">
        <f t="shared" si="9"/>
        <v>0</v>
      </c>
      <c r="H586" s="1"/>
    </row>
    <row r="587" spans="1:8" ht="15.75" customHeight="1">
      <c r="A587" s="6">
        <v>582</v>
      </c>
      <c r="B587" s="11" t="s">
        <v>554</v>
      </c>
      <c r="C587" s="11">
        <f xml:space="preserve">     12650</f>
        <v>12650</v>
      </c>
      <c r="D587" s="11"/>
      <c r="E587" s="17"/>
      <c r="F587" s="12"/>
      <c r="G587" s="8">
        <f t="shared" si="9"/>
        <v>0</v>
      </c>
      <c r="H587" s="1"/>
    </row>
    <row r="588" spans="1:8" ht="15.75" customHeight="1">
      <c r="A588" s="6">
        <v>583</v>
      </c>
      <c r="B588" s="11" t="s">
        <v>555</v>
      </c>
      <c r="C588" s="11">
        <f xml:space="preserve">     12600</f>
        <v>12600</v>
      </c>
      <c r="D588" s="11"/>
      <c r="E588" s="17"/>
      <c r="F588" s="12"/>
      <c r="G588" s="8">
        <f t="shared" si="9"/>
        <v>0</v>
      </c>
      <c r="H588" s="1"/>
    </row>
    <row r="589" spans="1:8" ht="15.75" customHeight="1">
      <c r="A589" s="6">
        <v>584</v>
      </c>
      <c r="B589" s="11" t="s">
        <v>556</v>
      </c>
      <c r="C589" s="11">
        <f xml:space="preserve">      4700</f>
        <v>4700</v>
      </c>
      <c r="D589" s="11"/>
      <c r="E589" s="17"/>
      <c r="F589" s="12"/>
      <c r="G589" s="8">
        <f t="shared" si="9"/>
        <v>0</v>
      </c>
      <c r="H589" s="1"/>
    </row>
    <row r="590" spans="1:8" ht="15.75" customHeight="1">
      <c r="A590" s="6">
        <v>585</v>
      </c>
      <c r="B590" s="11" t="s">
        <v>557</v>
      </c>
      <c r="C590" s="11">
        <f xml:space="preserve">      5350</f>
        <v>5350</v>
      </c>
      <c r="D590" s="11"/>
      <c r="E590" s="17"/>
      <c r="F590" s="12"/>
      <c r="G590" s="8">
        <f t="shared" si="9"/>
        <v>0</v>
      </c>
      <c r="H590" s="1"/>
    </row>
    <row r="591" spans="1:8" ht="15.75" customHeight="1">
      <c r="A591" s="6">
        <v>586</v>
      </c>
      <c r="B591" s="11" t="s">
        <v>558</v>
      </c>
      <c r="C591" s="11">
        <f xml:space="preserve">     60800</f>
        <v>60800</v>
      </c>
      <c r="D591" s="11"/>
      <c r="E591" s="17"/>
      <c r="F591" s="12"/>
      <c r="G591" s="8">
        <f t="shared" si="9"/>
        <v>0</v>
      </c>
      <c r="H591" s="1"/>
    </row>
    <row r="592" spans="1:8" ht="15.75" customHeight="1">
      <c r="A592" s="6">
        <v>587</v>
      </c>
      <c r="B592" s="11" t="s">
        <v>559</v>
      </c>
      <c r="C592" s="11">
        <f xml:space="preserve">     58500</f>
        <v>58500</v>
      </c>
      <c r="D592" s="11"/>
      <c r="E592" s="17"/>
      <c r="F592" s="12"/>
      <c r="G592" s="8">
        <f t="shared" si="9"/>
        <v>0</v>
      </c>
      <c r="H592" s="1"/>
    </row>
    <row r="593" spans="1:8" ht="15.75" customHeight="1">
      <c r="A593" s="6">
        <v>588</v>
      </c>
      <c r="B593" s="11" t="s">
        <v>560</v>
      </c>
      <c r="C593" s="11">
        <f xml:space="preserve">     55450</f>
        <v>55450</v>
      </c>
      <c r="D593" s="11"/>
      <c r="E593" s="17"/>
      <c r="F593" s="12"/>
      <c r="G593" s="8">
        <f t="shared" si="9"/>
        <v>0</v>
      </c>
      <c r="H593" s="1"/>
    </row>
    <row r="594" spans="1:8" ht="15.75" customHeight="1">
      <c r="A594" s="6">
        <v>589</v>
      </c>
      <c r="B594" s="11" t="s">
        <v>561</v>
      </c>
      <c r="C594" s="11">
        <f xml:space="preserve">     53650</f>
        <v>53650</v>
      </c>
      <c r="D594" s="11"/>
      <c r="E594" s="17"/>
      <c r="F594" s="12"/>
      <c r="G594" s="8">
        <f t="shared" si="9"/>
        <v>0</v>
      </c>
      <c r="H594" s="1"/>
    </row>
    <row r="595" spans="1:8" ht="15.75" customHeight="1">
      <c r="A595" s="6">
        <v>590</v>
      </c>
      <c r="B595" s="11" t="s">
        <v>562</v>
      </c>
      <c r="C595" s="11">
        <f xml:space="preserve">     69500</f>
        <v>69500</v>
      </c>
      <c r="D595" s="11"/>
      <c r="E595" s="17"/>
      <c r="F595" s="12"/>
      <c r="G595" s="8">
        <f t="shared" si="9"/>
        <v>0</v>
      </c>
      <c r="H595" s="1"/>
    </row>
    <row r="596" spans="1:8" ht="15.75" customHeight="1">
      <c r="A596" s="6">
        <v>591</v>
      </c>
      <c r="B596" s="11" t="s">
        <v>563</v>
      </c>
      <c r="C596" s="11">
        <f xml:space="preserve">    135000</f>
        <v>135000</v>
      </c>
      <c r="D596" s="11"/>
      <c r="E596" s="17"/>
      <c r="F596" s="12"/>
      <c r="G596" s="8">
        <f t="shared" si="9"/>
        <v>0</v>
      </c>
      <c r="H596" s="1"/>
    </row>
    <row r="597" spans="1:8" ht="15.75" customHeight="1">
      <c r="A597" s="6">
        <v>592</v>
      </c>
      <c r="B597" s="11" t="s">
        <v>563</v>
      </c>
      <c r="C597" s="11">
        <f xml:space="preserve">    135000</f>
        <v>135000</v>
      </c>
      <c r="D597" s="11"/>
      <c r="E597" s="17"/>
      <c r="F597" s="12"/>
      <c r="G597" s="8">
        <f t="shared" si="9"/>
        <v>0</v>
      </c>
      <c r="H597" s="1"/>
    </row>
    <row r="598" spans="1:8" ht="15.75" customHeight="1">
      <c r="A598" s="6">
        <v>593</v>
      </c>
      <c r="B598" s="11" t="s">
        <v>564</v>
      </c>
      <c r="C598" s="11">
        <f xml:space="preserve">     93000</f>
        <v>93000</v>
      </c>
      <c r="D598" s="11"/>
      <c r="E598" s="17"/>
      <c r="F598" s="12"/>
      <c r="G598" s="8">
        <f t="shared" si="9"/>
        <v>0</v>
      </c>
      <c r="H598" s="1"/>
    </row>
    <row r="599" spans="1:8" ht="15.75" customHeight="1">
      <c r="A599" s="6">
        <v>594</v>
      </c>
      <c r="B599" s="11" t="s">
        <v>565</v>
      </c>
      <c r="C599" s="11">
        <f xml:space="preserve">     48700</f>
        <v>48700</v>
      </c>
      <c r="D599" s="11"/>
      <c r="E599" s="17"/>
      <c r="F599" s="12"/>
      <c r="G599" s="8">
        <f t="shared" si="9"/>
        <v>0</v>
      </c>
      <c r="H599" s="1"/>
    </row>
    <row r="600" spans="1:8" ht="15.75" customHeight="1">
      <c r="A600" s="6">
        <v>595</v>
      </c>
      <c r="B600" s="11" t="s">
        <v>566</v>
      </c>
      <c r="C600" s="11">
        <f xml:space="preserve">     46450</f>
        <v>46450</v>
      </c>
      <c r="D600" s="11"/>
      <c r="E600" s="17"/>
      <c r="F600" s="12"/>
      <c r="G600" s="8">
        <f t="shared" si="9"/>
        <v>0</v>
      </c>
      <c r="H600" s="1"/>
    </row>
    <row r="601" spans="1:8" ht="15.75" customHeight="1">
      <c r="A601" s="6">
        <v>596</v>
      </c>
      <c r="B601" s="11" t="s">
        <v>567</v>
      </c>
      <c r="C601" s="11">
        <f xml:space="preserve">     52350</f>
        <v>52350</v>
      </c>
      <c r="D601" s="11"/>
      <c r="E601" s="17"/>
      <c r="F601" s="12"/>
      <c r="G601" s="8">
        <f t="shared" si="9"/>
        <v>0</v>
      </c>
      <c r="H601" s="1"/>
    </row>
    <row r="602" spans="1:8" ht="15.75" customHeight="1">
      <c r="A602" s="6">
        <v>597</v>
      </c>
      <c r="B602" s="11" t="s">
        <v>568</v>
      </c>
      <c r="C602" s="11">
        <f xml:space="preserve">     47650</f>
        <v>47650</v>
      </c>
      <c r="D602" s="11"/>
      <c r="E602" s="17"/>
      <c r="F602" s="12"/>
      <c r="G602" s="8">
        <f t="shared" si="9"/>
        <v>0</v>
      </c>
      <c r="H602" s="1"/>
    </row>
    <row r="603" spans="1:8" ht="15.75" customHeight="1">
      <c r="A603" s="6">
        <v>598</v>
      </c>
      <c r="B603" s="11" t="s">
        <v>569</v>
      </c>
      <c r="C603" s="11">
        <f xml:space="preserve">     17500</f>
        <v>17500</v>
      </c>
      <c r="D603" s="11"/>
      <c r="E603" s="17"/>
      <c r="F603" s="12"/>
      <c r="G603" s="8">
        <f t="shared" si="9"/>
        <v>0</v>
      </c>
      <c r="H603" s="1"/>
    </row>
    <row r="604" spans="1:8" ht="15.75" customHeight="1">
      <c r="A604" s="6">
        <v>599</v>
      </c>
      <c r="B604" s="11" t="s">
        <v>570</v>
      </c>
      <c r="C604" s="11">
        <f xml:space="preserve">    258400</f>
        <v>258400</v>
      </c>
      <c r="D604" s="11"/>
      <c r="E604" s="17"/>
      <c r="F604" s="12"/>
      <c r="G604" s="8">
        <f t="shared" si="9"/>
        <v>0</v>
      </c>
      <c r="H604" s="1"/>
    </row>
    <row r="605" spans="1:8" ht="15.75" customHeight="1">
      <c r="A605" s="6">
        <v>600</v>
      </c>
      <c r="B605" s="11" t="s">
        <v>571</v>
      </c>
      <c r="C605" s="11">
        <f xml:space="preserve">      4100</f>
        <v>4100</v>
      </c>
      <c r="D605" s="11"/>
      <c r="E605" s="17"/>
      <c r="F605" s="12"/>
      <c r="G605" s="8">
        <f t="shared" si="9"/>
        <v>0</v>
      </c>
      <c r="H605" s="1"/>
    </row>
    <row r="606" spans="1:8" ht="15.75" customHeight="1">
      <c r="A606" s="6">
        <v>601</v>
      </c>
      <c r="B606" s="11" t="s">
        <v>572</v>
      </c>
      <c r="C606" s="11">
        <f xml:space="preserve">      8600</f>
        <v>8600</v>
      </c>
      <c r="D606" s="11"/>
      <c r="E606" s="17"/>
      <c r="F606" s="12"/>
      <c r="G606" s="8">
        <f t="shared" si="9"/>
        <v>0</v>
      </c>
      <c r="H606" s="1"/>
    </row>
    <row r="607" spans="1:8" ht="15.75" customHeight="1">
      <c r="A607" s="6">
        <v>602</v>
      </c>
      <c r="B607" s="11" t="s">
        <v>572</v>
      </c>
      <c r="C607" s="11">
        <f xml:space="preserve">      8600</f>
        <v>8600</v>
      </c>
      <c r="D607" s="11"/>
      <c r="E607" s="17"/>
      <c r="F607" s="12"/>
      <c r="G607" s="8">
        <f t="shared" si="9"/>
        <v>0</v>
      </c>
      <c r="H607" s="1"/>
    </row>
    <row r="608" spans="1:8" ht="15.75" customHeight="1">
      <c r="A608" s="6">
        <v>603</v>
      </c>
      <c r="B608" s="11" t="s">
        <v>573</v>
      </c>
      <c r="C608" s="11">
        <f xml:space="preserve">     76950</f>
        <v>76950</v>
      </c>
      <c r="D608" s="11"/>
      <c r="E608" s="17"/>
      <c r="F608" s="12"/>
      <c r="G608" s="8">
        <f t="shared" si="9"/>
        <v>0</v>
      </c>
      <c r="H608" s="1"/>
    </row>
    <row r="609" spans="1:8" ht="15.75" customHeight="1">
      <c r="A609" s="6">
        <v>604</v>
      </c>
      <c r="B609" s="11" t="s">
        <v>574</v>
      </c>
      <c r="C609" s="11">
        <f xml:space="preserve">     16500</f>
        <v>16500</v>
      </c>
      <c r="D609" s="11"/>
      <c r="E609" s="17"/>
      <c r="F609" s="12"/>
      <c r="G609" s="8">
        <f t="shared" si="9"/>
        <v>0</v>
      </c>
      <c r="H609" s="1"/>
    </row>
    <row r="610" spans="1:8" ht="15.75" customHeight="1">
      <c r="A610" s="6">
        <v>605</v>
      </c>
      <c r="B610" s="11" t="s">
        <v>575</v>
      </c>
      <c r="C610" s="11">
        <f xml:space="preserve">     37250</f>
        <v>37250</v>
      </c>
      <c r="D610" s="11"/>
      <c r="E610" s="17"/>
      <c r="F610" s="12"/>
      <c r="G610" s="8">
        <f t="shared" si="9"/>
        <v>0</v>
      </c>
      <c r="H610" s="1"/>
    </row>
    <row r="611" spans="1:8" ht="15.75" customHeight="1">
      <c r="A611" s="6">
        <v>606</v>
      </c>
      <c r="B611" s="11" t="s">
        <v>576</v>
      </c>
      <c r="C611" s="11">
        <f xml:space="preserve">     47500</f>
        <v>47500</v>
      </c>
      <c r="D611" s="11"/>
      <c r="E611" s="17"/>
      <c r="F611" s="12"/>
      <c r="G611" s="8">
        <f t="shared" si="9"/>
        <v>0</v>
      </c>
      <c r="H611" s="1"/>
    </row>
    <row r="612" spans="1:8" ht="15.75" customHeight="1">
      <c r="A612" s="6">
        <v>607</v>
      </c>
      <c r="B612" s="11" t="s">
        <v>577</v>
      </c>
      <c r="C612" s="11">
        <f xml:space="preserve">     36300</f>
        <v>36300</v>
      </c>
      <c r="D612" s="11"/>
      <c r="E612" s="17"/>
      <c r="F612" s="12"/>
      <c r="G612" s="8">
        <f t="shared" si="9"/>
        <v>0</v>
      </c>
      <c r="H612" s="1"/>
    </row>
    <row r="613" spans="1:8" ht="15.75" customHeight="1">
      <c r="A613" s="6">
        <v>608</v>
      </c>
      <c r="B613" s="11" t="s">
        <v>2461</v>
      </c>
      <c r="C613" s="11">
        <f xml:space="preserve">    365100</f>
        <v>365100</v>
      </c>
      <c r="D613" s="11"/>
      <c r="E613" s="17"/>
      <c r="F613" s="12"/>
      <c r="G613" s="8">
        <f t="shared" si="9"/>
        <v>0</v>
      </c>
      <c r="H613" s="1"/>
    </row>
    <row r="614" spans="1:8" ht="15.75" customHeight="1">
      <c r="A614" s="6">
        <v>609</v>
      </c>
      <c r="B614" s="11" t="s">
        <v>578</v>
      </c>
      <c r="C614" s="11">
        <f xml:space="preserve">    350350</f>
        <v>350350</v>
      </c>
      <c r="D614" s="11"/>
      <c r="E614" s="17"/>
      <c r="F614" s="12"/>
      <c r="G614" s="8">
        <f t="shared" si="9"/>
        <v>0</v>
      </c>
      <c r="H614" s="1"/>
    </row>
    <row r="615" spans="1:8" ht="15.75" customHeight="1">
      <c r="A615" s="6">
        <v>610</v>
      </c>
      <c r="B615" s="11" t="s">
        <v>579</v>
      </c>
      <c r="C615" s="11">
        <f xml:space="preserve">     51350</f>
        <v>51350</v>
      </c>
      <c r="D615" s="11"/>
      <c r="E615" s="17"/>
      <c r="F615" s="12"/>
      <c r="G615" s="8">
        <f t="shared" si="9"/>
        <v>0</v>
      </c>
      <c r="H615" s="1"/>
    </row>
    <row r="616" spans="1:8" ht="15.75" customHeight="1">
      <c r="A616" s="6">
        <v>611</v>
      </c>
      <c r="B616" s="11" t="s">
        <v>580</v>
      </c>
      <c r="C616" s="11">
        <f xml:space="preserve">     30200</f>
        <v>30200</v>
      </c>
      <c r="D616" s="11"/>
      <c r="E616" s="17"/>
      <c r="F616" s="12"/>
      <c r="G616" s="8">
        <f t="shared" si="9"/>
        <v>0</v>
      </c>
      <c r="H616" s="1"/>
    </row>
    <row r="617" spans="1:8" ht="15.75" customHeight="1">
      <c r="A617" s="6">
        <v>612</v>
      </c>
      <c r="B617" s="11" t="s">
        <v>581</v>
      </c>
      <c r="C617" s="11">
        <f xml:space="preserve">     30800</f>
        <v>30800</v>
      </c>
      <c r="D617" s="11"/>
      <c r="E617" s="17"/>
      <c r="F617" s="12"/>
      <c r="G617" s="8">
        <f t="shared" si="9"/>
        <v>0</v>
      </c>
      <c r="H617" s="1"/>
    </row>
    <row r="618" spans="1:8" ht="15.75" customHeight="1">
      <c r="A618" s="6">
        <v>613</v>
      </c>
      <c r="B618" s="11" t="s">
        <v>582</v>
      </c>
      <c r="C618" s="11">
        <f xml:space="preserve">     30800</f>
        <v>30800</v>
      </c>
      <c r="D618" s="11"/>
      <c r="E618" s="17"/>
      <c r="F618" s="12"/>
      <c r="G618" s="8">
        <f t="shared" si="9"/>
        <v>0</v>
      </c>
      <c r="H618" s="1"/>
    </row>
    <row r="619" spans="1:8" ht="15.75" customHeight="1">
      <c r="A619" s="6">
        <v>614</v>
      </c>
      <c r="B619" s="11" t="s">
        <v>583</v>
      </c>
      <c r="C619" s="11">
        <f xml:space="preserve">     30800</f>
        <v>30800</v>
      </c>
      <c r="D619" s="11"/>
      <c r="E619" s="17"/>
      <c r="F619" s="12"/>
      <c r="G619" s="8">
        <f t="shared" si="9"/>
        <v>0</v>
      </c>
      <c r="H619" s="1"/>
    </row>
    <row r="620" spans="1:8" ht="15.75" customHeight="1">
      <c r="A620" s="6">
        <v>615</v>
      </c>
      <c r="B620" s="11" t="s">
        <v>584</v>
      </c>
      <c r="C620" s="11">
        <f xml:space="preserve">     28950</f>
        <v>28950</v>
      </c>
      <c r="D620" s="11"/>
      <c r="E620" s="17"/>
      <c r="F620" s="12"/>
      <c r="G620" s="8">
        <f t="shared" si="9"/>
        <v>0</v>
      </c>
      <c r="H620" s="1"/>
    </row>
    <row r="621" spans="1:8" ht="15.75" customHeight="1">
      <c r="A621" s="6">
        <v>616</v>
      </c>
      <c r="B621" s="11" t="s">
        <v>585</v>
      </c>
      <c r="C621" s="11">
        <f xml:space="preserve">     38000</f>
        <v>38000</v>
      </c>
      <c r="D621" s="11"/>
      <c r="E621" s="17"/>
      <c r="F621" s="12"/>
      <c r="G621" s="8">
        <f t="shared" si="9"/>
        <v>0</v>
      </c>
      <c r="H621" s="1"/>
    </row>
    <row r="622" spans="1:8" ht="15.75" customHeight="1">
      <c r="A622" s="6">
        <v>617</v>
      </c>
      <c r="B622" s="11" t="s">
        <v>586</v>
      </c>
      <c r="C622" s="11">
        <f xml:space="preserve">     39800</f>
        <v>39800</v>
      </c>
      <c r="D622" s="11"/>
      <c r="E622" s="17"/>
      <c r="F622" s="12"/>
      <c r="G622" s="8">
        <f t="shared" si="9"/>
        <v>0</v>
      </c>
      <c r="H622" s="1"/>
    </row>
    <row r="623" spans="1:8" ht="15.75" customHeight="1">
      <c r="A623" s="6">
        <v>618</v>
      </c>
      <c r="B623" s="11" t="s">
        <v>587</v>
      </c>
      <c r="C623" s="11">
        <f xml:space="preserve">      6450</f>
        <v>6450</v>
      </c>
      <c r="D623" s="11"/>
      <c r="E623" s="17"/>
      <c r="F623" s="12"/>
      <c r="G623" s="8">
        <f t="shared" si="9"/>
        <v>0</v>
      </c>
      <c r="H623" s="1"/>
    </row>
    <row r="624" spans="1:8" ht="15.75" customHeight="1">
      <c r="A624" s="6">
        <v>619</v>
      </c>
      <c r="B624" s="11" t="s">
        <v>588</v>
      </c>
      <c r="C624" s="11">
        <f xml:space="preserve">     26150</f>
        <v>26150</v>
      </c>
      <c r="D624" s="11"/>
      <c r="E624" s="17"/>
      <c r="F624" s="12"/>
      <c r="G624" s="8">
        <f t="shared" si="9"/>
        <v>0</v>
      </c>
      <c r="H624" s="1"/>
    </row>
    <row r="625" spans="1:8" ht="15.75" customHeight="1">
      <c r="A625" s="6">
        <v>620</v>
      </c>
      <c r="B625" s="11" t="s">
        <v>589</v>
      </c>
      <c r="C625" s="11">
        <f xml:space="preserve">      5550</f>
        <v>5550</v>
      </c>
      <c r="D625" s="11"/>
      <c r="E625" s="17"/>
      <c r="F625" s="12"/>
      <c r="G625" s="8">
        <f t="shared" si="9"/>
        <v>0</v>
      </c>
      <c r="H625" s="1"/>
    </row>
    <row r="626" spans="1:8" ht="15.75" customHeight="1">
      <c r="A626" s="6">
        <v>621</v>
      </c>
      <c r="B626" s="11" t="s">
        <v>2462</v>
      </c>
      <c r="C626" s="11">
        <f xml:space="preserve">      5350</f>
        <v>5350</v>
      </c>
      <c r="D626" s="11"/>
      <c r="E626" s="17"/>
      <c r="F626" s="12"/>
      <c r="G626" s="8">
        <f t="shared" si="9"/>
        <v>0</v>
      </c>
      <c r="H626" s="1"/>
    </row>
    <row r="627" spans="1:8" ht="15.75" customHeight="1">
      <c r="A627" s="6">
        <v>622</v>
      </c>
      <c r="B627" s="11" t="s">
        <v>590</v>
      </c>
      <c r="C627" s="11">
        <f xml:space="preserve">      7450</f>
        <v>7450</v>
      </c>
      <c r="D627" s="11"/>
      <c r="E627" s="17"/>
      <c r="F627" s="12"/>
      <c r="G627" s="8">
        <f t="shared" si="9"/>
        <v>0</v>
      </c>
      <c r="H627" s="1"/>
    </row>
    <row r="628" spans="1:8" ht="15.75" customHeight="1">
      <c r="A628" s="6">
        <v>623</v>
      </c>
      <c r="B628" s="11" t="s">
        <v>591</v>
      </c>
      <c r="C628" s="11">
        <f xml:space="preserve">     27250</f>
        <v>27250</v>
      </c>
      <c r="D628" s="11"/>
      <c r="E628" s="17"/>
      <c r="F628" s="12"/>
      <c r="G628" s="8">
        <f t="shared" si="9"/>
        <v>0</v>
      </c>
      <c r="H628" s="1"/>
    </row>
    <row r="629" spans="1:8" ht="15.75" customHeight="1">
      <c r="A629" s="6">
        <v>624</v>
      </c>
      <c r="B629" s="11" t="s">
        <v>592</v>
      </c>
      <c r="C629" s="11">
        <f xml:space="preserve">      1800</f>
        <v>1800</v>
      </c>
      <c r="D629" s="11"/>
      <c r="E629" s="17"/>
      <c r="F629" s="12"/>
      <c r="G629" s="8">
        <f t="shared" si="9"/>
        <v>0</v>
      </c>
      <c r="H629" s="1"/>
    </row>
    <row r="630" spans="1:8" ht="15.75" customHeight="1">
      <c r="A630" s="6">
        <v>625</v>
      </c>
      <c r="B630" s="11" t="s">
        <v>593</v>
      </c>
      <c r="C630" s="11">
        <f xml:space="preserve">     48650</f>
        <v>48650</v>
      </c>
      <c r="D630" s="11"/>
      <c r="E630" s="17"/>
      <c r="F630" s="12"/>
      <c r="G630" s="8">
        <f t="shared" si="9"/>
        <v>0</v>
      </c>
      <c r="H630" s="1"/>
    </row>
    <row r="631" spans="1:8" ht="15.75" customHeight="1">
      <c r="A631" s="6">
        <v>626</v>
      </c>
      <c r="B631" s="11" t="s">
        <v>594</v>
      </c>
      <c r="C631" s="11">
        <f xml:space="preserve">     62650</f>
        <v>62650</v>
      </c>
      <c r="D631" s="11"/>
      <c r="E631" s="17"/>
      <c r="F631" s="12"/>
      <c r="G631" s="8">
        <f t="shared" si="9"/>
        <v>0</v>
      </c>
      <c r="H631" s="1"/>
    </row>
    <row r="632" spans="1:8" ht="15.75" customHeight="1">
      <c r="A632" s="6">
        <v>628</v>
      </c>
      <c r="B632" s="11" t="s">
        <v>595</v>
      </c>
      <c r="C632" s="11">
        <f xml:space="preserve">     84750</f>
        <v>84750</v>
      </c>
      <c r="D632" s="11"/>
      <c r="E632" s="17"/>
      <c r="F632" s="12"/>
      <c r="G632" s="8">
        <f t="shared" si="9"/>
        <v>0</v>
      </c>
      <c r="H632" s="1"/>
    </row>
    <row r="633" spans="1:8" ht="15.75" customHeight="1">
      <c r="A633" s="6">
        <v>629</v>
      </c>
      <c r="B633" s="11" t="s">
        <v>596</v>
      </c>
      <c r="C633" s="11">
        <f xml:space="preserve">      2800</f>
        <v>2800</v>
      </c>
      <c r="D633" s="11"/>
      <c r="E633" s="17"/>
      <c r="F633" s="12"/>
      <c r="G633" s="8">
        <f t="shared" si="9"/>
        <v>0</v>
      </c>
      <c r="H633" s="1"/>
    </row>
    <row r="634" spans="1:8" ht="15.75" customHeight="1">
      <c r="A634" s="6">
        <v>630</v>
      </c>
      <c r="B634" s="11" t="s">
        <v>596</v>
      </c>
      <c r="C634" s="11">
        <f xml:space="preserve">      2800</f>
        <v>2800</v>
      </c>
      <c r="D634" s="11"/>
      <c r="E634" s="17"/>
      <c r="F634" s="12"/>
      <c r="G634" s="8">
        <f t="shared" si="9"/>
        <v>0</v>
      </c>
      <c r="H634" s="1"/>
    </row>
    <row r="635" spans="1:8" ht="15.75" customHeight="1">
      <c r="A635" s="6">
        <v>631</v>
      </c>
      <c r="B635" s="11" t="s">
        <v>597</v>
      </c>
      <c r="C635" s="11">
        <f xml:space="preserve">     14350</f>
        <v>14350</v>
      </c>
      <c r="D635" s="11"/>
      <c r="E635" s="17"/>
      <c r="F635" s="12"/>
      <c r="G635" s="8">
        <f t="shared" si="9"/>
        <v>0</v>
      </c>
      <c r="H635" s="1"/>
    </row>
    <row r="636" spans="1:8" ht="15.75" customHeight="1">
      <c r="A636" s="6">
        <v>632</v>
      </c>
      <c r="B636" s="11" t="s">
        <v>598</v>
      </c>
      <c r="C636" s="11">
        <f xml:space="preserve">     63500</f>
        <v>63500</v>
      </c>
      <c r="D636" s="11"/>
      <c r="E636" s="17"/>
      <c r="F636" s="12"/>
      <c r="G636" s="8">
        <f t="shared" si="9"/>
        <v>0</v>
      </c>
      <c r="H636" s="1"/>
    </row>
    <row r="637" spans="1:8" ht="15.75" customHeight="1">
      <c r="A637" s="6">
        <v>633</v>
      </c>
      <c r="B637" s="11" t="s">
        <v>599</v>
      </c>
      <c r="C637" s="11">
        <f xml:space="preserve">     19850</f>
        <v>19850</v>
      </c>
      <c r="D637" s="11"/>
      <c r="E637" s="17"/>
      <c r="F637" s="12"/>
      <c r="G637" s="8">
        <f t="shared" si="9"/>
        <v>0</v>
      </c>
      <c r="H637" s="1"/>
    </row>
    <row r="638" spans="1:8" ht="15.75" customHeight="1">
      <c r="A638" s="6">
        <v>634</v>
      </c>
      <c r="B638" s="11" t="s">
        <v>600</v>
      </c>
      <c r="C638" s="11">
        <f xml:space="preserve">     12950</f>
        <v>12950</v>
      </c>
      <c r="D638" s="11"/>
      <c r="E638" s="17"/>
      <c r="F638" s="12"/>
      <c r="G638" s="8">
        <f t="shared" si="9"/>
        <v>0</v>
      </c>
      <c r="H638" s="1"/>
    </row>
    <row r="639" spans="1:8" ht="15.75" customHeight="1">
      <c r="A639" s="6">
        <v>635</v>
      </c>
      <c r="B639" s="11" t="s">
        <v>601</v>
      </c>
      <c r="C639" s="11">
        <f xml:space="preserve">     99850</f>
        <v>99850</v>
      </c>
      <c r="D639" s="11"/>
      <c r="E639" s="17"/>
      <c r="F639" s="12"/>
      <c r="G639" s="8">
        <f t="shared" si="9"/>
        <v>0</v>
      </c>
      <c r="H639" s="1"/>
    </row>
    <row r="640" spans="1:8" ht="15.75" customHeight="1">
      <c r="A640" s="6">
        <v>636</v>
      </c>
      <c r="B640" s="11" t="s">
        <v>602</v>
      </c>
      <c r="C640" s="11">
        <f xml:space="preserve">    170800</f>
        <v>170800</v>
      </c>
      <c r="D640" s="11"/>
      <c r="E640" s="17"/>
      <c r="F640" s="12"/>
      <c r="G640" s="8">
        <f t="shared" si="9"/>
        <v>0</v>
      </c>
      <c r="H640" s="1"/>
    </row>
    <row r="641" spans="1:8" ht="15.75" customHeight="1">
      <c r="A641" s="6">
        <v>637</v>
      </c>
      <c r="B641" s="11" t="s">
        <v>603</v>
      </c>
      <c r="C641" s="11">
        <f xml:space="preserve">    196700</f>
        <v>196700</v>
      </c>
      <c r="D641" s="11"/>
      <c r="E641" s="17"/>
      <c r="F641" s="12"/>
      <c r="G641" s="8">
        <f t="shared" si="9"/>
        <v>0</v>
      </c>
      <c r="H641" s="1"/>
    </row>
    <row r="642" spans="1:8" ht="15.75" customHeight="1">
      <c r="A642" s="6">
        <v>638</v>
      </c>
      <c r="B642" s="11" t="s">
        <v>604</v>
      </c>
      <c r="C642" s="11">
        <f xml:space="preserve">     11800</f>
        <v>11800</v>
      </c>
      <c r="D642" s="11"/>
      <c r="E642" s="17"/>
      <c r="F642" s="12"/>
      <c r="G642" s="8">
        <f t="shared" si="9"/>
        <v>0</v>
      </c>
      <c r="H642" s="1"/>
    </row>
    <row r="643" spans="1:8" ht="15.75" customHeight="1">
      <c r="A643" s="6">
        <v>639</v>
      </c>
      <c r="B643" s="11" t="s">
        <v>605</v>
      </c>
      <c r="C643" s="11">
        <f xml:space="preserve">      9000</f>
        <v>9000</v>
      </c>
      <c r="D643" s="11"/>
      <c r="E643" s="17"/>
      <c r="F643" s="12"/>
      <c r="G643" s="8">
        <f t="shared" si="9"/>
        <v>0</v>
      </c>
      <c r="H643" s="1"/>
    </row>
    <row r="644" spans="1:8" ht="15.75" customHeight="1">
      <c r="A644" s="6">
        <v>640</v>
      </c>
      <c r="B644" s="11" t="s">
        <v>606</v>
      </c>
      <c r="C644" s="11">
        <f xml:space="preserve">     11400</f>
        <v>11400</v>
      </c>
      <c r="D644" s="11"/>
      <c r="E644" s="17"/>
      <c r="F644" s="12"/>
      <c r="G644" s="8">
        <f t="shared" si="9"/>
        <v>0</v>
      </c>
      <c r="H644" s="1"/>
    </row>
    <row r="645" spans="1:8" ht="15.75" customHeight="1">
      <c r="A645" s="6">
        <v>641</v>
      </c>
      <c r="B645" s="11" t="s">
        <v>607</v>
      </c>
      <c r="C645" s="11">
        <f xml:space="preserve">    105000</f>
        <v>105000</v>
      </c>
      <c r="D645" s="11"/>
      <c r="E645" s="17"/>
      <c r="F645" s="12"/>
      <c r="G645" s="8">
        <f t="shared" ref="G645:G708" si="10">C645*D645+E645*F645</f>
        <v>0</v>
      </c>
      <c r="H645" s="1"/>
    </row>
    <row r="646" spans="1:8" ht="15.75" customHeight="1">
      <c r="A646" s="6">
        <v>642</v>
      </c>
      <c r="B646" s="11" t="s">
        <v>608</v>
      </c>
      <c r="C646" s="11">
        <f xml:space="preserve">      4400</f>
        <v>4400</v>
      </c>
      <c r="D646" s="11"/>
      <c r="E646" s="17"/>
      <c r="F646" s="12"/>
      <c r="G646" s="8">
        <f t="shared" si="10"/>
        <v>0</v>
      </c>
      <c r="H646" s="1"/>
    </row>
    <row r="647" spans="1:8" ht="15.75" customHeight="1">
      <c r="A647" s="6">
        <v>643</v>
      </c>
      <c r="B647" s="11" t="s">
        <v>609</v>
      </c>
      <c r="C647" s="11">
        <f xml:space="preserve">      4750</f>
        <v>4750</v>
      </c>
      <c r="D647" s="11"/>
      <c r="E647" s="17"/>
      <c r="F647" s="12"/>
      <c r="G647" s="8">
        <f t="shared" si="10"/>
        <v>0</v>
      </c>
      <c r="H647" s="1"/>
    </row>
    <row r="648" spans="1:8" ht="15.75" customHeight="1">
      <c r="A648" s="6">
        <v>644</v>
      </c>
      <c r="B648" s="11" t="s">
        <v>610</v>
      </c>
      <c r="C648" s="11">
        <f xml:space="preserve">      1200</f>
        <v>1200</v>
      </c>
      <c r="D648" s="11"/>
      <c r="E648" s="17"/>
      <c r="F648" s="12"/>
      <c r="G648" s="8">
        <f t="shared" si="10"/>
        <v>0</v>
      </c>
      <c r="H648" s="1"/>
    </row>
    <row r="649" spans="1:8" ht="15.75" customHeight="1">
      <c r="A649" s="6">
        <v>645</v>
      </c>
      <c r="B649" s="11" t="s">
        <v>611</v>
      </c>
      <c r="C649" s="11">
        <f xml:space="preserve">      1150</f>
        <v>1150</v>
      </c>
      <c r="D649" s="11"/>
      <c r="E649" s="17"/>
      <c r="F649" s="12"/>
      <c r="G649" s="8">
        <f t="shared" si="10"/>
        <v>0</v>
      </c>
      <c r="H649" s="1"/>
    </row>
    <row r="650" spans="1:8" ht="15.75" customHeight="1">
      <c r="A650" s="6">
        <v>646</v>
      </c>
      <c r="B650" s="11" t="s">
        <v>612</v>
      </c>
      <c r="C650" s="11">
        <f xml:space="preserve">      3000</f>
        <v>3000</v>
      </c>
      <c r="D650" s="11"/>
      <c r="E650" s="17"/>
      <c r="F650" s="12"/>
      <c r="G650" s="8">
        <f t="shared" si="10"/>
        <v>0</v>
      </c>
      <c r="H650" s="1"/>
    </row>
    <row r="651" spans="1:8" ht="15.75" customHeight="1">
      <c r="A651" s="6">
        <v>647</v>
      </c>
      <c r="B651" s="11" t="s">
        <v>612</v>
      </c>
      <c r="C651" s="11">
        <f xml:space="preserve">      3000</f>
        <v>3000</v>
      </c>
      <c r="D651" s="11"/>
      <c r="E651" s="17"/>
      <c r="F651" s="12"/>
      <c r="G651" s="8">
        <f t="shared" si="10"/>
        <v>0</v>
      </c>
      <c r="H651" s="1"/>
    </row>
    <row r="652" spans="1:8" ht="15.75" customHeight="1">
      <c r="A652" s="6">
        <v>648</v>
      </c>
      <c r="B652" s="11" t="s">
        <v>613</v>
      </c>
      <c r="C652" s="11">
        <f xml:space="preserve">      4400</f>
        <v>4400</v>
      </c>
      <c r="D652" s="11"/>
      <c r="E652" s="17"/>
      <c r="F652" s="12"/>
      <c r="G652" s="8">
        <f t="shared" si="10"/>
        <v>0</v>
      </c>
      <c r="H652" s="1"/>
    </row>
    <row r="653" spans="1:8" ht="15.75" customHeight="1">
      <c r="A653" s="6">
        <v>649</v>
      </c>
      <c r="B653" s="11" t="s">
        <v>614</v>
      </c>
      <c r="C653" s="11">
        <f xml:space="preserve">      2250</f>
        <v>2250</v>
      </c>
      <c r="D653" s="11"/>
      <c r="E653" s="17"/>
      <c r="F653" s="12"/>
      <c r="G653" s="8">
        <f t="shared" si="10"/>
        <v>0</v>
      </c>
      <c r="H653" s="1"/>
    </row>
    <row r="654" spans="1:8" ht="15.75" customHeight="1">
      <c r="A654" s="6">
        <v>650</v>
      </c>
      <c r="B654" s="11" t="s">
        <v>615</v>
      </c>
      <c r="C654" s="11">
        <f xml:space="preserve">      3800</f>
        <v>3800</v>
      </c>
      <c r="D654" s="11"/>
      <c r="E654" s="17"/>
      <c r="F654" s="12"/>
      <c r="G654" s="8">
        <f t="shared" si="10"/>
        <v>0</v>
      </c>
      <c r="H654" s="1"/>
    </row>
    <row r="655" spans="1:8" ht="15.75" customHeight="1">
      <c r="A655" s="6">
        <v>651</v>
      </c>
      <c r="B655" s="11" t="s">
        <v>616</v>
      </c>
      <c r="C655" s="11">
        <f xml:space="preserve">     21250</f>
        <v>21250</v>
      </c>
      <c r="D655" s="11"/>
      <c r="E655" s="17"/>
      <c r="F655" s="12"/>
      <c r="G655" s="8">
        <f t="shared" si="10"/>
        <v>0</v>
      </c>
      <c r="H655" s="1"/>
    </row>
    <row r="656" spans="1:8" ht="15.75" customHeight="1">
      <c r="A656" s="6">
        <v>652</v>
      </c>
      <c r="B656" s="11" t="s">
        <v>617</v>
      </c>
      <c r="C656" s="11">
        <f xml:space="preserve">    344200</f>
        <v>344200</v>
      </c>
      <c r="D656" s="11"/>
      <c r="E656" s="17"/>
      <c r="F656" s="12"/>
      <c r="G656" s="8">
        <f t="shared" si="10"/>
        <v>0</v>
      </c>
      <c r="H656" s="1"/>
    </row>
    <row r="657" spans="1:8" ht="15.75" customHeight="1">
      <c r="A657" s="6">
        <v>653</v>
      </c>
      <c r="B657" s="11" t="s">
        <v>618</v>
      </c>
      <c r="C657" s="11">
        <f xml:space="preserve">    349900</f>
        <v>349900</v>
      </c>
      <c r="D657" s="11"/>
      <c r="E657" s="17"/>
      <c r="F657" s="12"/>
      <c r="G657" s="8">
        <f t="shared" si="10"/>
        <v>0</v>
      </c>
      <c r="H657" s="1"/>
    </row>
    <row r="658" spans="1:8" ht="15.75" customHeight="1">
      <c r="A658" s="6">
        <v>654</v>
      </c>
      <c r="B658" s="11" t="s">
        <v>619</v>
      </c>
      <c r="C658" s="11">
        <f xml:space="preserve">      4900</f>
        <v>4900</v>
      </c>
      <c r="D658" s="11"/>
      <c r="E658" s="17"/>
      <c r="F658" s="12"/>
      <c r="G658" s="8">
        <f t="shared" si="10"/>
        <v>0</v>
      </c>
      <c r="H658" s="1"/>
    </row>
    <row r="659" spans="1:8" ht="15.75" customHeight="1">
      <c r="A659" s="6">
        <v>655</v>
      </c>
      <c r="B659" s="11" t="s">
        <v>620</v>
      </c>
      <c r="C659" s="11">
        <f xml:space="preserve">      4080</f>
        <v>4080</v>
      </c>
      <c r="D659" s="11"/>
      <c r="E659" s="17"/>
      <c r="F659" s="12"/>
      <c r="G659" s="8">
        <f t="shared" si="10"/>
        <v>0</v>
      </c>
      <c r="H659" s="1"/>
    </row>
    <row r="660" spans="1:8" ht="15.75" customHeight="1">
      <c r="A660" s="6">
        <v>656</v>
      </c>
      <c r="B660" s="11" t="s">
        <v>2463</v>
      </c>
      <c r="C660" s="11">
        <f xml:space="preserve">      3410</f>
        <v>3410</v>
      </c>
      <c r="D660" s="11"/>
      <c r="E660" s="17"/>
      <c r="F660" s="12"/>
      <c r="G660" s="8">
        <f t="shared" si="10"/>
        <v>0</v>
      </c>
      <c r="H660" s="1"/>
    </row>
    <row r="661" spans="1:8" ht="15.75" customHeight="1">
      <c r="A661" s="6">
        <v>657</v>
      </c>
      <c r="B661" s="11" t="s">
        <v>621</v>
      </c>
      <c r="C661" s="11">
        <f xml:space="preserve">     31750</f>
        <v>31750</v>
      </c>
      <c r="D661" s="11"/>
      <c r="E661" s="17"/>
      <c r="F661" s="12"/>
      <c r="G661" s="8">
        <f t="shared" si="10"/>
        <v>0</v>
      </c>
      <c r="H661" s="1"/>
    </row>
    <row r="662" spans="1:8" ht="15.75" customHeight="1">
      <c r="A662" s="6">
        <v>658</v>
      </c>
      <c r="B662" s="11" t="s">
        <v>622</v>
      </c>
      <c r="C662" s="11">
        <f xml:space="preserve">     81250</f>
        <v>81250</v>
      </c>
      <c r="D662" s="11"/>
      <c r="E662" s="17"/>
      <c r="F662" s="12"/>
      <c r="G662" s="8">
        <f t="shared" si="10"/>
        <v>0</v>
      </c>
      <c r="H662" s="1"/>
    </row>
    <row r="663" spans="1:8" ht="15.75" customHeight="1">
      <c r="A663" s="6">
        <v>659</v>
      </c>
      <c r="B663" s="11" t="s">
        <v>623</v>
      </c>
      <c r="C663" s="11">
        <f xml:space="preserve">     43700</f>
        <v>43700</v>
      </c>
      <c r="D663" s="11"/>
      <c r="E663" s="17"/>
      <c r="F663" s="12"/>
      <c r="G663" s="8">
        <f t="shared" si="10"/>
        <v>0</v>
      </c>
      <c r="H663" s="1"/>
    </row>
    <row r="664" spans="1:8" ht="15.75" customHeight="1">
      <c r="A664" s="6">
        <v>660</v>
      </c>
      <c r="B664" s="11" t="s">
        <v>624</v>
      </c>
      <c r="C664" s="11">
        <f xml:space="preserve">     59900</f>
        <v>59900</v>
      </c>
      <c r="D664" s="11"/>
      <c r="E664" s="17"/>
      <c r="F664" s="12"/>
      <c r="G664" s="8">
        <f t="shared" si="10"/>
        <v>0</v>
      </c>
      <c r="H664" s="1"/>
    </row>
    <row r="665" spans="1:8" ht="15.75" customHeight="1">
      <c r="A665" s="6">
        <v>661</v>
      </c>
      <c r="B665" s="11" t="s">
        <v>625</v>
      </c>
      <c r="C665" s="11">
        <f xml:space="preserve">      5300</f>
        <v>5300</v>
      </c>
      <c r="D665" s="11"/>
      <c r="E665" s="17"/>
      <c r="F665" s="12"/>
      <c r="G665" s="8">
        <f t="shared" si="10"/>
        <v>0</v>
      </c>
      <c r="H665" s="1"/>
    </row>
    <row r="666" spans="1:8" ht="15.75" customHeight="1">
      <c r="A666" s="6">
        <v>662</v>
      </c>
      <c r="B666" s="11" t="s">
        <v>626</v>
      </c>
      <c r="C666" s="11">
        <f xml:space="preserve">    106300</f>
        <v>106300</v>
      </c>
      <c r="D666" s="11"/>
      <c r="E666" s="17"/>
      <c r="F666" s="12"/>
      <c r="G666" s="8">
        <f t="shared" si="10"/>
        <v>0</v>
      </c>
      <c r="H666" s="1"/>
    </row>
    <row r="667" spans="1:8" ht="15.75" customHeight="1">
      <c r="A667" s="6">
        <v>663</v>
      </c>
      <c r="B667" s="11" t="s">
        <v>627</v>
      </c>
      <c r="C667" s="11">
        <f xml:space="preserve">    152900</f>
        <v>152900</v>
      </c>
      <c r="D667" s="11"/>
      <c r="E667" s="17"/>
      <c r="F667" s="12"/>
      <c r="G667" s="8">
        <f t="shared" si="10"/>
        <v>0</v>
      </c>
      <c r="H667" s="1"/>
    </row>
    <row r="668" spans="1:8" ht="15.75" customHeight="1">
      <c r="A668" s="6">
        <v>664</v>
      </c>
      <c r="B668" s="11" t="s">
        <v>628</v>
      </c>
      <c r="C668" s="11">
        <f xml:space="preserve">     10000</f>
        <v>10000</v>
      </c>
      <c r="D668" s="11"/>
      <c r="E668" s="17"/>
      <c r="F668" s="12"/>
      <c r="G668" s="8">
        <f t="shared" si="10"/>
        <v>0</v>
      </c>
      <c r="H668" s="1"/>
    </row>
    <row r="669" spans="1:8" ht="15.75" customHeight="1">
      <c r="A669" s="6">
        <v>665</v>
      </c>
      <c r="B669" s="11" t="s">
        <v>628</v>
      </c>
      <c r="C669" s="11">
        <f xml:space="preserve">      9900</f>
        <v>9900</v>
      </c>
      <c r="D669" s="11"/>
      <c r="E669" s="17"/>
      <c r="F669" s="12"/>
      <c r="G669" s="8">
        <f t="shared" si="10"/>
        <v>0</v>
      </c>
      <c r="H669" s="1"/>
    </row>
    <row r="670" spans="1:8" ht="15.75" customHeight="1">
      <c r="A670" s="6">
        <v>666</v>
      </c>
      <c r="B670" s="11" t="s">
        <v>629</v>
      </c>
      <c r="C670" s="11">
        <f xml:space="preserve">     51700</f>
        <v>51700</v>
      </c>
      <c r="D670" s="11"/>
      <c r="E670" s="17"/>
      <c r="F670" s="12"/>
      <c r="G670" s="8">
        <f t="shared" si="10"/>
        <v>0</v>
      </c>
      <c r="H670" s="1"/>
    </row>
    <row r="671" spans="1:8" ht="15.75" customHeight="1">
      <c r="A671" s="6">
        <v>667</v>
      </c>
      <c r="B671" s="11" t="s">
        <v>630</v>
      </c>
      <c r="C671" s="11">
        <f xml:space="preserve">     55400</f>
        <v>55400</v>
      </c>
      <c r="D671" s="11"/>
      <c r="E671" s="17"/>
      <c r="F671" s="12"/>
      <c r="G671" s="8">
        <f t="shared" si="10"/>
        <v>0</v>
      </c>
      <c r="H671" s="1"/>
    </row>
    <row r="672" spans="1:8" ht="15.75" customHeight="1">
      <c r="A672" s="6">
        <v>668</v>
      </c>
      <c r="B672" s="11" t="s">
        <v>631</v>
      </c>
      <c r="C672" s="11">
        <f xml:space="preserve">     64600</f>
        <v>64600</v>
      </c>
      <c r="D672" s="11"/>
      <c r="E672" s="17"/>
      <c r="F672" s="12"/>
      <c r="G672" s="8">
        <f t="shared" si="10"/>
        <v>0</v>
      </c>
      <c r="H672" s="1"/>
    </row>
    <row r="673" spans="1:8" ht="15.75" customHeight="1">
      <c r="A673" s="6">
        <v>669</v>
      </c>
      <c r="B673" s="11" t="s">
        <v>632</v>
      </c>
      <c r="C673" s="11">
        <f xml:space="preserve">    129800</f>
        <v>129800</v>
      </c>
      <c r="D673" s="11"/>
      <c r="E673" s="17"/>
      <c r="F673" s="12"/>
      <c r="G673" s="8">
        <f t="shared" si="10"/>
        <v>0</v>
      </c>
      <c r="H673" s="1"/>
    </row>
    <row r="674" spans="1:8" ht="15.75" customHeight="1">
      <c r="A674" s="6">
        <v>670</v>
      </c>
      <c r="B674" s="11" t="s">
        <v>633</v>
      </c>
      <c r="C674" s="11">
        <f xml:space="preserve">     49200</f>
        <v>49200</v>
      </c>
      <c r="D674" s="11"/>
      <c r="E674" s="17"/>
      <c r="F674" s="12"/>
      <c r="G674" s="8">
        <f t="shared" si="10"/>
        <v>0</v>
      </c>
      <c r="H674" s="1"/>
    </row>
    <row r="675" spans="1:8" ht="15.75" customHeight="1">
      <c r="A675" s="6">
        <v>671</v>
      </c>
      <c r="B675" s="11" t="s">
        <v>634</v>
      </c>
      <c r="C675" s="11">
        <f xml:space="preserve">     28000</f>
        <v>28000</v>
      </c>
      <c r="D675" s="11"/>
      <c r="E675" s="17"/>
      <c r="F675" s="12"/>
      <c r="G675" s="8">
        <f t="shared" si="10"/>
        <v>0</v>
      </c>
      <c r="H675" s="1"/>
    </row>
    <row r="676" spans="1:8" ht="15.75" customHeight="1">
      <c r="A676" s="6">
        <v>672</v>
      </c>
      <c r="B676" s="11" t="s">
        <v>635</v>
      </c>
      <c r="C676" s="11">
        <f xml:space="preserve">     83800</f>
        <v>83800</v>
      </c>
      <c r="D676" s="11"/>
      <c r="E676" s="17"/>
      <c r="F676" s="12"/>
      <c r="G676" s="8">
        <f t="shared" si="10"/>
        <v>0</v>
      </c>
      <c r="H676" s="1"/>
    </row>
    <row r="677" spans="1:8" ht="15.75" customHeight="1">
      <c r="A677" s="6">
        <v>673</v>
      </c>
      <c r="B677" s="11" t="s">
        <v>636</v>
      </c>
      <c r="C677" s="11">
        <f xml:space="preserve">      6000</f>
        <v>6000</v>
      </c>
      <c r="D677" s="11"/>
      <c r="E677" s="17"/>
      <c r="F677" s="12"/>
      <c r="G677" s="8">
        <f t="shared" si="10"/>
        <v>0</v>
      </c>
      <c r="H677" s="1"/>
    </row>
    <row r="678" spans="1:8" ht="15.75" customHeight="1">
      <c r="A678" s="6">
        <v>674</v>
      </c>
      <c r="B678" s="11" t="s">
        <v>637</v>
      </c>
      <c r="C678" s="11">
        <f xml:space="preserve">      2725</f>
        <v>2725</v>
      </c>
      <c r="D678" s="11"/>
      <c r="E678" s="17"/>
      <c r="F678" s="12"/>
      <c r="G678" s="8">
        <f t="shared" si="10"/>
        <v>0</v>
      </c>
      <c r="H678" s="1"/>
    </row>
    <row r="679" spans="1:8" ht="15.75" customHeight="1">
      <c r="A679" s="6">
        <v>675</v>
      </c>
      <c r="B679" s="11" t="s">
        <v>638</v>
      </c>
      <c r="C679" s="11">
        <f xml:space="preserve">     27800</f>
        <v>27800</v>
      </c>
      <c r="D679" s="11"/>
      <c r="E679" s="17"/>
      <c r="F679" s="12"/>
      <c r="G679" s="8">
        <f t="shared" si="10"/>
        <v>0</v>
      </c>
      <c r="H679" s="1"/>
    </row>
    <row r="680" spans="1:8" ht="15.75" customHeight="1">
      <c r="A680" s="6">
        <v>676</v>
      </c>
      <c r="B680" s="11" t="s">
        <v>639</v>
      </c>
      <c r="C680" s="11">
        <f xml:space="preserve">     49350</f>
        <v>49350</v>
      </c>
      <c r="D680" s="11"/>
      <c r="E680" s="17"/>
      <c r="F680" s="12"/>
      <c r="G680" s="8">
        <f t="shared" si="10"/>
        <v>0</v>
      </c>
      <c r="H680" s="1"/>
    </row>
    <row r="681" spans="1:8" ht="15.75" customHeight="1">
      <c r="A681" s="6">
        <v>677</v>
      </c>
      <c r="B681" s="11" t="s">
        <v>640</v>
      </c>
      <c r="C681" s="11">
        <f xml:space="preserve">    153000</f>
        <v>153000</v>
      </c>
      <c r="D681" s="11"/>
      <c r="E681" s="17"/>
      <c r="F681" s="12"/>
      <c r="G681" s="8">
        <f t="shared" si="10"/>
        <v>0</v>
      </c>
      <c r="H681" s="1"/>
    </row>
    <row r="682" spans="1:8" ht="15.75" customHeight="1">
      <c r="A682" s="6">
        <v>678</v>
      </c>
      <c r="B682" s="11" t="s">
        <v>641</v>
      </c>
      <c r="C682" s="11">
        <f xml:space="preserve">     70000</f>
        <v>70000</v>
      </c>
      <c r="D682" s="11"/>
      <c r="E682" s="17"/>
      <c r="F682" s="12"/>
      <c r="G682" s="8">
        <f t="shared" si="10"/>
        <v>0</v>
      </c>
      <c r="H682" s="1"/>
    </row>
    <row r="683" spans="1:8" ht="15.75" customHeight="1">
      <c r="A683" s="6">
        <v>679</v>
      </c>
      <c r="B683" s="11" t="s">
        <v>642</v>
      </c>
      <c r="C683" s="11">
        <f xml:space="preserve">      5300</f>
        <v>5300</v>
      </c>
      <c r="D683" s="11"/>
      <c r="E683" s="17"/>
      <c r="F683" s="12"/>
      <c r="G683" s="8">
        <f t="shared" si="10"/>
        <v>0</v>
      </c>
      <c r="H683" s="1"/>
    </row>
    <row r="684" spans="1:8" ht="15.75" customHeight="1">
      <c r="A684" s="6">
        <v>680</v>
      </c>
      <c r="B684" s="11" t="s">
        <v>643</v>
      </c>
      <c r="C684" s="11">
        <f xml:space="preserve">      7750</f>
        <v>7750</v>
      </c>
      <c r="D684" s="11"/>
      <c r="E684" s="17"/>
      <c r="F684" s="12"/>
      <c r="G684" s="8">
        <f t="shared" si="10"/>
        <v>0</v>
      </c>
      <c r="H684" s="1"/>
    </row>
    <row r="685" spans="1:8" ht="15.75" customHeight="1">
      <c r="A685" s="6">
        <v>681</v>
      </c>
      <c r="B685" s="11" t="s">
        <v>643</v>
      </c>
      <c r="C685" s="11">
        <f xml:space="preserve">      7750</f>
        <v>7750</v>
      </c>
      <c r="D685" s="11"/>
      <c r="E685" s="17"/>
      <c r="F685" s="12"/>
      <c r="G685" s="8">
        <f t="shared" si="10"/>
        <v>0</v>
      </c>
      <c r="H685" s="1"/>
    </row>
    <row r="686" spans="1:8" ht="15.75" customHeight="1">
      <c r="A686" s="6">
        <v>682</v>
      </c>
      <c r="B686" s="11" t="s">
        <v>644</v>
      </c>
      <c r="C686" s="11">
        <f xml:space="preserve">     42700</f>
        <v>42700</v>
      </c>
      <c r="D686" s="11"/>
      <c r="E686" s="17"/>
      <c r="F686" s="12"/>
      <c r="G686" s="8">
        <f t="shared" si="10"/>
        <v>0</v>
      </c>
      <c r="H686" s="1"/>
    </row>
    <row r="687" spans="1:8" ht="15.75" customHeight="1">
      <c r="A687" s="6">
        <v>683</v>
      </c>
      <c r="B687" s="11" t="s">
        <v>645</v>
      </c>
      <c r="C687" s="11">
        <f xml:space="preserve">     65350</f>
        <v>65350</v>
      </c>
      <c r="D687" s="11"/>
      <c r="E687" s="17"/>
      <c r="F687" s="12"/>
      <c r="G687" s="8">
        <f t="shared" si="10"/>
        <v>0</v>
      </c>
      <c r="H687" s="1"/>
    </row>
    <row r="688" spans="1:8" ht="15.75" customHeight="1">
      <c r="A688" s="6">
        <v>684</v>
      </c>
      <c r="B688" s="11" t="s">
        <v>646</v>
      </c>
      <c r="C688" s="11">
        <f xml:space="preserve">     40100</f>
        <v>40100</v>
      </c>
      <c r="D688" s="11"/>
      <c r="E688" s="17"/>
      <c r="F688" s="12"/>
      <c r="G688" s="8">
        <f t="shared" si="10"/>
        <v>0</v>
      </c>
      <c r="H688" s="1"/>
    </row>
    <row r="689" spans="1:8" ht="15.75" customHeight="1">
      <c r="A689" s="6">
        <v>685</v>
      </c>
      <c r="B689" s="11" t="s">
        <v>647</v>
      </c>
      <c r="C689" s="11">
        <f xml:space="preserve">     81800</f>
        <v>81800</v>
      </c>
      <c r="D689" s="11"/>
      <c r="E689" s="17"/>
      <c r="F689" s="12"/>
      <c r="G689" s="8">
        <f t="shared" si="10"/>
        <v>0</v>
      </c>
      <c r="H689" s="1"/>
    </row>
    <row r="690" spans="1:8" ht="15.75" customHeight="1">
      <c r="A690" s="6">
        <v>686</v>
      </c>
      <c r="B690" s="11" t="s">
        <v>648</v>
      </c>
      <c r="C690" s="11">
        <f xml:space="preserve">    177750</f>
        <v>177750</v>
      </c>
      <c r="D690" s="11"/>
      <c r="E690" s="17"/>
      <c r="F690" s="12"/>
      <c r="G690" s="8">
        <f t="shared" si="10"/>
        <v>0</v>
      </c>
      <c r="H690" s="1"/>
    </row>
    <row r="691" spans="1:8" ht="15.75" customHeight="1">
      <c r="A691" s="6">
        <v>687</v>
      </c>
      <c r="B691" s="11" t="s">
        <v>649</v>
      </c>
      <c r="C691" s="11">
        <f xml:space="preserve">    258400</f>
        <v>258400</v>
      </c>
      <c r="D691" s="11"/>
      <c r="E691" s="17"/>
      <c r="F691" s="12"/>
      <c r="G691" s="8">
        <f t="shared" si="10"/>
        <v>0</v>
      </c>
      <c r="H691" s="1"/>
    </row>
    <row r="692" spans="1:8" ht="15.75" customHeight="1">
      <c r="A692" s="6">
        <v>688</v>
      </c>
      <c r="B692" s="11" t="s">
        <v>650</v>
      </c>
      <c r="C692" s="11">
        <f xml:space="preserve">      4100</f>
        <v>4100</v>
      </c>
      <c r="D692" s="11"/>
      <c r="E692" s="17"/>
      <c r="F692" s="12"/>
      <c r="G692" s="8">
        <f t="shared" si="10"/>
        <v>0</v>
      </c>
      <c r="H692" s="1"/>
    </row>
    <row r="693" spans="1:8" ht="15.75" customHeight="1">
      <c r="A693" s="6">
        <v>689</v>
      </c>
      <c r="B693" s="11" t="s">
        <v>651</v>
      </c>
      <c r="C693" s="11">
        <f xml:space="preserve">      4150</f>
        <v>4150</v>
      </c>
      <c r="D693" s="11"/>
      <c r="E693" s="17"/>
      <c r="F693" s="12"/>
      <c r="G693" s="8">
        <f t="shared" si="10"/>
        <v>0</v>
      </c>
      <c r="H693" s="1"/>
    </row>
    <row r="694" spans="1:8" ht="15.75" customHeight="1">
      <c r="A694" s="6">
        <v>690</v>
      </c>
      <c r="B694" s="11" t="s">
        <v>651</v>
      </c>
      <c r="C694" s="11">
        <f xml:space="preserve">      4350</f>
        <v>4350</v>
      </c>
      <c r="D694" s="11"/>
      <c r="E694" s="17"/>
      <c r="F694" s="12"/>
      <c r="G694" s="8">
        <f t="shared" si="10"/>
        <v>0</v>
      </c>
      <c r="H694" s="1"/>
    </row>
    <row r="695" spans="1:8" ht="15.75" customHeight="1">
      <c r="A695" s="6">
        <v>691</v>
      </c>
      <c r="B695" s="11" t="s">
        <v>652</v>
      </c>
      <c r="C695" s="11">
        <f xml:space="preserve">     35600</f>
        <v>35600</v>
      </c>
      <c r="D695" s="11"/>
      <c r="E695" s="17"/>
      <c r="F695" s="12"/>
      <c r="G695" s="8">
        <f t="shared" si="10"/>
        <v>0</v>
      </c>
      <c r="H695" s="1"/>
    </row>
    <row r="696" spans="1:8" ht="15.75" customHeight="1">
      <c r="A696" s="6">
        <v>692</v>
      </c>
      <c r="B696" s="11" t="s">
        <v>653</v>
      </c>
      <c r="C696" s="11">
        <f xml:space="preserve">     34650</f>
        <v>34650</v>
      </c>
      <c r="D696" s="11"/>
      <c r="E696" s="17"/>
      <c r="F696" s="12"/>
      <c r="G696" s="8">
        <f t="shared" si="10"/>
        <v>0</v>
      </c>
      <c r="H696" s="1"/>
    </row>
    <row r="697" spans="1:8" ht="15.75" customHeight="1">
      <c r="A697" s="6">
        <v>693</v>
      </c>
      <c r="B697" s="11" t="s">
        <v>654</v>
      </c>
      <c r="C697" s="11">
        <f xml:space="preserve">     34650</f>
        <v>34650</v>
      </c>
      <c r="D697" s="11"/>
      <c r="E697" s="17"/>
      <c r="F697" s="12"/>
      <c r="G697" s="8">
        <f t="shared" si="10"/>
        <v>0</v>
      </c>
      <c r="H697" s="1"/>
    </row>
    <row r="698" spans="1:8" ht="15.75" customHeight="1">
      <c r="A698" s="6">
        <v>694</v>
      </c>
      <c r="B698" s="11" t="s">
        <v>655</v>
      </c>
      <c r="C698" s="11">
        <f xml:space="preserve">     84550</f>
        <v>84550</v>
      </c>
      <c r="D698" s="11"/>
      <c r="E698" s="17"/>
      <c r="F698" s="12"/>
      <c r="G698" s="8">
        <f t="shared" si="10"/>
        <v>0</v>
      </c>
      <c r="H698" s="1"/>
    </row>
    <row r="699" spans="1:8" ht="15.75" customHeight="1">
      <c r="A699" s="6">
        <v>695</v>
      </c>
      <c r="B699" s="11" t="s">
        <v>656</v>
      </c>
      <c r="C699" s="11">
        <f xml:space="preserve">     84550</f>
        <v>84550</v>
      </c>
      <c r="D699" s="11"/>
      <c r="E699" s="17"/>
      <c r="F699" s="12"/>
      <c r="G699" s="8">
        <f t="shared" si="10"/>
        <v>0</v>
      </c>
      <c r="H699" s="1"/>
    </row>
    <row r="700" spans="1:8" ht="15.75" customHeight="1">
      <c r="A700" s="6">
        <v>696</v>
      </c>
      <c r="B700" s="11" t="s">
        <v>657</v>
      </c>
      <c r="C700" s="11">
        <f xml:space="preserve">     33100</f>
        <v>33100</v>
      </c>
      <c r="D700" s="11"/>
      <c r="E700" s="17"/>
      <c r="F700" s="12"/>
      <c r="G700" s="8">
        <f t="shared" si="10"/>
        <v>0</v>
      </c>
      <c r="H700" s="1"/>
    </row>
    <row r="701" spans="1:8" ht="15.75" customHeight="1">
      <c r="A701" s="6">
        <v>697</v>
      </c>
      <c r="B701" s="11" t="s">
        <v>658</v>
      </c>
      <c r="C701" s="11">
        <f xml:space="preserve">     13950</f>
        <v>13950</v>
      </c>
      <c r="D701" s="11"/>
      <c r="E701" s="17"/>
      <c r="F701" s="12"/>
      <c r="G701" s="8">
        <f t="shared" si="10"/>
        <v>0</v>
      </c>
      <c r="H701" s="1"/>
    </row>
    <row r="702" spans="1:8" ht="15.75" customHeight="1">
      <c r="A702" s="6">
        <v>698</v>
      </c>
      <c r="B702" s="11" t="s">
        <v>659</v>
      </c>
      <c r="C702" s="11">
        <f xml:space="preserve">     13700</f>
        <v>13700</v>
      </c>
      <c r="D702" s="11"/>
      <c r="E702" s="17"/>
      <c r="F702" s="12"/>
      <c r="G702" s="8">
        <f t="shared" si="10"/>
        <v>0</v>
      </c>
      <c r="H702" s="1"/>
    </row>
    <row r="703" spans="1:8" ht="15.75" customHeight="1">
      <c r="A703" s="6">
        <v>699</v>
      </c>
      <c r="B703" s="11" t="s">
        <v>660</v>
      </c>
      <c r="C703" s="11">
        <f xml:space="preserve">     10350</f>
        <v>10350</v>
      </c>
      <c r="D703" s="11"/>
      <c r="E703" s="17"/>
      <c r="F703" s="12"/>
      <c r="G703" s="8">
        <f t="shared" si="10"/>
        <v>0</v>
      </c>
      <c r="H703" s="1"/>
    </row>
    <row r="704" spans="1:8" ht="15.75" customHeight="1">
      <c r="A704" s="6">
        <v>700</v>
      </c>
      <c r="B704" s="11" t="s">
        <v>661</v>
      </c>
      <c r="C704" s="11">
        <f xml:space="preserve">     41700</f>
        <v>41700</v>
      </c>
      <c r="D704" s="11"/>
      <c r="E704" s="17"/>
      <c r="F704" s="12"/>
      <c r="G704" s="8">
        <f t="shared" si="10"/>
        <v>0</v>
      </c>
      <c r="H704" s="1"/>
    </row>
    <row r="705" spans="1:8" ht="15.75" customHeight="1">
      <c r="A705" s="6">
        <v>701</v>
      </c>
      <c r="B705" s="11" t="s">
        <v>662</v>
      </c>
      <c r="C705" s="11">
        <f xml:space="preserve">     46800</f>
        <v>46800</v>
      </c>
      <c r="D705" s="11"/>
      <c r="E705" s="17"/>
      <c r="F705" s="12"/>
      <c r="G705" s="8">
        <f t="shared" si="10"/>
        <v>0</v>
      </c>
      <c r="H705" s="1"/>
    </row>
    <row r="706" spans="1:8" ht="15.75" customHeight="1">
      <c r="A706" s="6">
        <v>702</v>
      </c>
      <c r="B706" s="11" t="s">
        <v>663</v>
      </c>
      <c r="C706" s="11">
        <f xml:space="preserve">     33800</f>
        <v>33800</v>
      </c>
      <c r="D706" s="11"/>
      <c r="E706" s="17"/>
      <c r="F706" s="12"/>
      <c r="G706" s="8">
        <f t="shared" si="10"/>
        <v>0</v>
      </c>
      <c r="H706" s="1"/>
    </row>
    <row r="707" spans="1:8" ht="15.75" customHeight="1">
      <c r="A707" s="6">
        <v>703</v>
      </c>
      <c r="B707" s="11" t="s">
        <v>664</v>
      </c>
      <c r="C707" s="11">
        <f xml:space="preserve">     17600</f>
        <v>17600</v>
      </c>
      <c r="D707" s="11"/>
      <c r="E707" s="17"/>
      <c r="F707" s="12"/>
      <c r="G707" s="8">
        <f t="shared" si="10"/>
        <v>0</v>
      </c>
      <c r="H707" s="1"/>
    </row>
    <row r="708" spans="1:8" ht="15.75" customHeight="1">
      <c r="A708" s="6">
        <v>704</v>
      </c>
      <c r="B708" s="11" t="s">
        <v>665</v>
      </c>
      <c r="C708" s="11">
        <f xml:space="preserve">      1650</f>
        <v>1650</v>
      </c>
      <c r="D708" s="11"/>
      <c r="E708" s="17"/>
      <c r="F708" s="12"/>
      <c r="G708" s="8">
        <f t="shared" si="10"/>
        <v>0</v>
      </c>
      <c r="H708" s="1"/>
    </row>
    <row r="709" spans="1:8" ht="15.75" customHeight="1">
      <c r="A709" s="6">
        <v>705</v>
      </c>
      <c r="B709" s="11" t="s">
        <v>666</v>
      </c>
      <c r="C709" s="11">
        <f xml:space="preserve">      1550</f>
        <v>1550</v>
      </c>
      <c r="D709" s="11"/>
      <c r="E709" s="17"/>
      <c r="F709" s="12"/>
      <c r="G709" s="8">
        <f t="shared" ref="G709:G772" si="11">C709*D709+E709*F709</f>
        <v>0</v>
      </c>
      <c r="H709" s="1"/>
    </row>
    <row r="710" spans="1:8" ht="15.75" customHeight="1">
      <c r="A710" s="6">
        <v>706</v>
      </c>
      <c r="B710" s="11" t="s">
        <v>667</v>
      </c>
      <c r="C710" s="11">
        <f xml:space="preserve">     59500</f>
        <v>59500</v>
      </c>
      <c r="D710" s="11"/>
      <c r="E710" s="17"/>
      <c r="F710" s="12"/>
      <c r="G710" s="8">
        <f t="shared" si="11"/>
        <v>0</v>
      </c>
      <c r="H710" s="1"/>
    </row>
    <row r="711" spans="1:8" ht="15.75" customHeight="1">
      <c r="A711" s="6">
        <v>707</v>
      </c>
      <c r="B711" s="11" t="s">
        <v>668</v>
      </c>
      <c r="C711" s="11">
        <f xml:space="preserve">     21250</f>
        <v>21250</v>
      </c>
      <c r="D711" s="11"/>
      <c r="E711" s="17"/>
      <c r="F711" s="12"/>
      <c r="G711" s="8">
        <f t="shared" si="11"/>
        <v>0</v>
      </c>
      <c r="H711" s="1"/>
    </row>
    <row r="712" spans="1:8" ht="15.75" customHeight="1">
      <c r="A712" s="6">
        <v>708</v>
      </c>
      <c r="B712" s="11" t="s">
        <v>669</v>
      </c>
      <c r="C712" s="11">
        <f xml:space="preserve">     19500</f>
        <v>19500</v>
      </c>
      <c r="D712" s="11"/>
      <c r="E712" s="17"/>
      <c r="F712" s="12"/>
      <c r="G712" s="8">
        <f t="shared" si="11"/>
        <v>0</v>
      </c>
      <c r="H712" s="1"/>
    </row>
    <row r="713" spans="1:8" ht="15.75" customHeight="1">
      <c r="A713" s="6">
        <v>709</v>
      </c>
      <c r="B713" s="11" t="s">
        <v>2464</v>
      </c>
      <c r="C713" s="11">
        <f xml:space="preserve">     19250</f>
        <v>19250</v>
      </c>
      <c r="D713" s="11"/>
      <c r="E713" s="17"/>
      <c r="F713" s="12"/>
      <c r="G713" s="8">
        <f t="shared" si="11"/>
        <v>0</v>
      </c>
      <c r="H713" s="1"/>
    </row>
    <row r="714" spans="1:8" ht="15.75" customHeight="1">
      <c r="A714" s="6">
        <v>710</v>
      </c>
      <c r="B714" s="11" t="s">
        <v>670</v>
      </c>
      <c r="C714" s="11">
        <f xml:space="preserve">     32700</f>
        <v>32700</v>
      </c>
      <c r="D714" s="11"/>
      <c r="E714" s="17"/>
      <c r="F714" s="12"/>
      <c r="G714" s="8">
        <f t="shared" si="11"/>
        <v>0</v>
      </c>
      <c r="H714" s="1"/>
    </row>
    <row r="715" spans="1:8" ht="15.75" customHeight="1">
      <c r="A715" s="6">
        <v>711</v>
      </c>
      <c r="B715" s="11" t="s">
        <v>671</v>
      </c>
      <c r="C715" s="11">
        <f xml:space="preserve">    106950</f>
        <v>106950</v>
      </c>
      <c r="D715" s="11"/>
      <c r="E715" s="17"/>
      <c r="F715" s="12"/>
      <c r="G715" s="8">
        <f t="shared" si="11"/>
        <v>0</v>
      </c>
      <c r="H715" s="1"/>
    </row>
    <row r="716" spans="1:8" ht="15.75" customHeight="1">
      <c r="A716" s="6">
        <v>712</v>
      </c>
      <c r="B716" s="11" t="s">
        <v>672</v>
      </c>
      <c r="C716" s="11">
        <f xml:space="preserve">     66150</f>
        <v>66150</v>
      </c>
      <c r="D716" s="11"/>
      <c r="E716" s="17"/>
      <c r="F716" s="12"/>
      <c r="G716" s="8">
        <f t="shared" si="11"/>
        <v>0</v>
      </c>
      <c r="H716" s="1"/>
    </row>
    <row r="717" spans="1:8" ht="15.75" customHeight="1">
      <c r="A717" s="6">
        <v>713</v>
      </c>
      <c r="B717" s="11" t="s">
        <v>673</v>
      </c>
      <c r="C717" s="11">
        <f xml:space="preserve">     91600</f>
        <v>91600</v>
      </c>
      <c r="D717" s="11"/>
      <c r="E717" s="17"/>
      <c r="F717" s="12"/>
      <c r="G717" s="8">
        <f t="shared" si="11"/>
        <v>0</v>
      </c>
      <c r="H717" s="1"/>
    </row>
    <row r="718" spans="1:8" ht="15.75" customHeight="1">
      <c r="A718" s="6">
        <v>714</v>
      </c>
      <c r="B718" s="11" t="s">
        <v>674</v>
      </c>
      <c r="C718" s="11">
        <f xml:space="preserve">     52950</f>
        <v>52950</v>
      </c>
      <c r="D718" s="11"/>
      <c r="E718" s="17"/>
      <c r="F718" s="12"/>
      <c r="G718" s="8">
        <f t="shared" si="11"/>
        <v>0</v>
      </c>
      <c r="H718" s="1"/>
    </row>
    <row r="719" spans="1:8" ht="15.75" customHeight="1">
      <c r="A719" s="6">
        <v>715</v>
      </c>
      <c r="B719" s="11" t="s">
        <v>675</v>
      </c>
      <c r="C719" s="11">
        <f xml:space="preserve">     18250</f>
        <v>18250</v>
      </c>
      <c r="D719" s="11"/>
      <c r="E719" s="17"/>
      <c r="F719" s="12"/>
      <c r="G719" s="8">
        <f t="shared" si="11"/>
        <v>0</v>
      </c>
      <c r="H719" s="1"/>
    </row>
    <row r="720" spans="1:8" ht="15.75" customHeight="1">
      <c r="A720" s="6">
        <v>716</v>
      </c>
      <c r="B720" s="11" t="s">
        <v>676</v>
      </c>
      <c r="C720" s="11">
        <f xml:space="preserve">     57200</f>
        <v>57200</v>
      </c>
      <c r="D720" s="11"/>
      <c r="E720" s="17"/>
      <c r="F720" s="12"/>
      <c r="G720" s="8">
        <f t="shared" si="11"/>
        <v>0</v>
      </c>
      <c r="H720" s="1"/>
    </row>
    <row r="721" spans="1:8" ht="15.75" customHeight="1">
      <c r="A721" s="6">
        <v>717</v>
      </c>
      <c r="B721" s="11" t="s">
        <v>677</v>
      </c>
      <c r="C721" s="11">
        <f xml:space="preserve">     50000</f>
        <v>50000</v>
      </c>
      <c r="D721" s="11"/>
      <c r="E721" s="17"/>
      <c r="F721" s="12"/>
      <c r="G721" s="8">
        <f t="shared" si="11"/>
        <v>0</v>
      </c>
      <c r="H721" s="1"/>
    </row>
    <row r="722" spans="1:8" ht="15.75" customHeight="1">
      <c r="A722" s="6">
        <v>718</v>
      </c>
      <c r="B722" s="11" t="s">
        <v>678</v>
      </c>
      <c r="C722" s="11">
        <f xml:space="preserve">      6150</f>
        <v>6150</v>
      </c>
      <c r="D722" s="11"/>
      <c r="E722" s="17"/>
      <c r="F722" s="12"/>
      <c r="G722" s="8">
        <f t="shared" si="11"/>
        <v>0</v>
      </c>
      <c r="H722" s="1"/>
    </row>
    <row r="723" spans="1:8" ht="15.75" customHeight="1">
      <c r="A723" s="6">
        <v>719</v>
      </c>
      <c r="B723" s="11" t="s">
        <v>679</v>
      </c>
      <c r="C723" s="11">
        <f xml:space="preserve">      8200</f>
        <v>8200</v>
      </c>
      <c r="D723" s="11"/>
      <c r="E723" s="17"/>
      <c r="F723" s="12"/>
      <c r="G723" s="8">
        <f t="shared" si="11"/>
        <v>0</v>
      </c>
      <c r="H723" s="1"/>
    </row>
    <row r="724" spans="1:8" ht="15.75" customHeight="1">
      <c r="A724" s="6">
        <v>720</v>
      </c>
      <c r="B724" s="11" t="s">
        <v>680</v>
      </c>
      <c r="C724" s="11">
        <f xml:space="preserve">     51650</f>
        <v>51650</v>
      </c>
      <c r="D724" s="11"/>
      <c r="E724" s="17"/>
      <c r="F724" s="12"/>
      <c r="G724" s="8">
        <f t="shared" si="11"/>
        <v>0</v>
      </c>
      <c r="H724" s="1"/>
    </row>
    <row r="725" spans="1:8" ht="15.75" customHeight="1">
      <c r="A725" s="6">
        <v>721</v>
      </c>
      <c r="B725" s="11" t="s">
        <v>681</v>
      </c>
      <c r="C725" s="11">
        <f xml:space="preserve">     35900</f>
        <v>35900</v>
      </c>
      <c r="D725" s="11"/>
      <c r="E725" s="17"/>
      <c r="F725" s="12"/>
      <c r="G725" s="8">
        <f t="shared" si="11"/>
        <v>0</v>
      </c>
      <c r="H725" s="1"/>
    </row>
    <row r="726" spans="1:8" ht="15.75" customHeight="1">
      <c r="A726" s="6">
        <v>722</v>
      </c>
      <c r="B726" s="11" t="s">
        <v>682</v>
      </c>
      <c r="C726" s="11">
        <f xml:space="preserve">     63450</f>
        <v>63450</v>
      </c>
      <c r="D726" s="11"/>
      <c r="E726" s="17"/>
      <c r="F726" s="12"/>
      <c r="G726" s="8">
        <f t="shared" si="11"/>
        <v>0</v>
      </c>
      <c r="H726" s="1"/>
    </row>
    <row r="727" spans="1:8" ht="15.75" customHeight="1">
      <c r="A727" s="6">
        <v>723</v>
      </c>
      <c r="B727" s="11" t="s">
        <v>683</v>
      </c>
      <c r="C727" s="11">
        <f xml:space="preserve">     36850</f>
        <v>36850</v>
      </c>
      <c r="D727" s="11"/>
      <c r="E727" s="17"/>
      <c r="F727" s="12"/>
      <c r="G727" s="8">
        <f t="shared" si="11"/>
        <v>0</v>
      </c>
      <c r="H727" s="1"/>
    </row>
    <row r="728" spans="1:8" ht="15.75" customHeight="1">
      <c r="A728" s="6">
        <v>724</v>
      </c>
      <c r="B728" s="11" t="s">
        <v>684</v>
      </c>
      <c r="C728" s="11">
        <f xml:space="preserve">     58650</f>
        <v>58650</v>
      </c>
      <c r="D728" s="11"/>
      <c r="E728" s="17"/>
      <c r="F728" s="12"/>
      <c r="G728" s="8">
        <f t="shared" si="11"/>
        <v>0</v>
      </c>
      <c r="H728" s="1"/>
    </row>
    <row r="729" spans="1:8" ht="15.75" customHeight="1">
      <c r="A729" s="6">
        <v>725</v>
      </c>
      <c r="B729" s="11" t="s">
        <v>685</v>
      </c>
      <c r="C729" s="11">
        <f xml:space="preserve">     74800</f>
        <v>74800</v>
      </c>
      <c r="D729" s="11"/>
      <c r="E729" s="17"/>
      <c r="F729" s="12"/>
      <c r="G729" s="8">
        <f t="shared" si="11"/>
        <v>0</v>
      </c>
      <c r="H729" s="1"/>
    </row>
    <row r="730" spans="1:8" ht="15.75" customHeight="1">
      <c r="A730" s="6">
        <v>726</v>
      </c>
      <c r="B730" s="11" t="s">
        <v>686</v>
      </c>
      <c r="C730" s="11">
        <f xml:space="preserve">     25250</f>
        <v>25250</v>
      </c>
      <c r="D730" s="11"/>
      <c r="E730" s="17"/>
      <c r="F730" s="12"/>
      <c r="G730" s="8">
        <f t="shared" si="11"/>
        <v>0</v>
      </c>
      <c r="H730" s="1"/>
    </row>
    <row r="731" spans="1:8" ht="15.75" customHeight="1">
      <c r="A731" s="6">
        <v>727</v>
      </c>
      <c r="B731" s="11" t="s">
        <v>687</v>
      </c>
      <c r="C731" s="11">
        <f xml:space="preserve">     29150</f>
        <v>29150</v>
      </c>
      <c r="D731" s="11"/>
      <c r="E731" s="17"/>
      <c r="F731" s="12"/>
      <c r="G731" s="8">
        <f t="shared" si="11"/>
        <v>0</v>
      </c>
      <c r="H731" s="1"/>
    </row>
    <row r="732" spans="1:8" ht="15.75" customHeight="1">
      <c r="A732" s="6">
        <v>728</v>
      </c>
      <c r="B732" s="11" t="s">
        <v>688</v>
      </c>
      <c r="C732" s="11">
        <f xml:space="preserve">      6750</f>
        <v>6750</v>
      </c>
      <c r="D732" s="11"/>
      <c r="E732" s="17"/>
      <c r="F732" s="12"/>
      <c r="G732" s="8">
        <f t="shared" si="11"/>
        <v>0</v>
      </c>
      <c r="H732" s="1"/>
    </row>
    <row r="733" spans="1:8" ht="15.75" customHeight="1">
      <c r="A733" s="6">
        <v>729</v>
      </c>
      <c r="B733" s="11" t="s">
        <v>689</v>
      </c>
      <c r="C733" s="11">
        <f xml:space="preserve">      6750</f>
        <v>6750</v>
      </c>
      <c r="D733" s="11"/>
      <c r="E733" s="17"/>
      <c r="F733" s="12"/>
      <c r="G733" s="8">
        <f t="shared" si="11"/>
        <v>0</v>
      </c>
      <c r="H733" s="1"/>
    </row>
    <row r="734" spans="1:8" ht="15.75" customHeight="1">
      <c r="A734" s="6">
        <v>730</v>
      </c>
      <c r="B734" s="11" t="s">
        <v>690</v>
      </c>
      <c r="C734" s="11">
        <f xml:space="preserve">    190000</f>
        <v>190000</v>
      </c>
      <c r="D734" s="11"/>
      <c r="E734" s="17"/>
      <c r="F734" s="12"/>
      <c r="G734" s="8">
        <f t="shared" si="11"/>
        <v>0</v>
      </c>
      <c r="H734" s="1"/>
    </row>
    <row r="735" spans="1:8" ht="15.75" customHeight="1">
      <c r="A735" s="6">
        <v>731</v>
      </c>
      <c r="B735" s="11" t="s">
        <v>691</v>
      </c>
      <c r="C735" s="11">
        <f xml:space="preserve">    103600</f>
        <v>103600</v>
      </c>
      <c r="D735" s="11"/>
      <c r="E735" s="17"/>
      <c r="F735" s="12"/>
      <c r="G735" s="8">
        <f t="shared" si="11"/>
        <v>0</v>
      </c>
      <c r="H735" s="1"/>
    </row>
    <row r="736" spans="1:8" ht="15.75" customHeight="1">
      <c r="A736" s="6">
        <v>732</v>
      </c>
      <c r="B736" s="11" t="s">
        <v>692</v>
      </c>
      <c r="C736" s="11">
        <f xml:space="preserve">     77850</f>
        <v>77850</v>
      </c>
      <c r="D736" s="11"/>
      <c r="E736" s="17"/>
      <c r="F736" s="12"/>
      <c r="G736" s="8">
        <f t="shared" si="11"/>
        <v>0</v>
      </c>
      <c r="H736" s="1"/>
    </row>
    <row r="737" spans="1:8" ht="15.75" customHeight="1">
      <c r="A737" s="6">
        <v>733</v>
      </c>
      <c r="B737" s="11" t="s">
        <v>693</v>
      </c>
      <c r="C737" s="11">
        <f xml:space="preserve">      6400</f>
        <v>6400</v>
      </c>
      <c r="D737" s="11"/>
      <c r="E737" s="17"/>
      <c r="F737" s="12"/>
      <c r="G737" s="8">
        <f t="shared" si="11"/>
        <v>0</v>
      </c>
      <c r="H737" s="1"/>
    </row>
    <row r="738" spans="1:8" ht="15.75" customHeight="1">
      <c r="A738" s="6">
        <v>734</v>
      </c>
      <c r="B738" s="11" t="s">
        <v>694</v>
      </c>
      <c r="C738" s="11">
        <f xml:space="preserve">      4400</f>
        <v>4400</v>
      </c>
      <c r="D738" s="11"/>
      <c r="E738" s="17"/>
      <c r="F738" s="12"/>
      <c r="G738" s="8">
        <f t="shared" si="11"/>
        <v>0</v>
      </c>
      <c r="H738" s="1"/>
    </row>
    <row r="739" spans="1:8" ht="15.75" customHeight="1">
      <c r="A739" s="6">
        <v>735</v>
      </c>
      <c r="B739" s="11" t="s">
        <v>695</v>
      </c>
      <c r="C739" s="11">
        <f xml:space="preserve">      3250</f>
        <v>3250</v>
      </c>
      <c r="D739" s="11"/>
      <c r="E739" s="17"/>
      <c r="F739" s="12"/>
      <c r="G739" s="8">
        <f t="shared" si="11"/>
        <v>0</v>
      </c>
      <c r="H739" s="1"/>
    </row>
    <row r="740" spans="1:8" ht="15.75" customHeight="1">
      <c r="A740" s="6">
        <v>736</v>
      </c>
      <c r="B740" s="11" t="s">
        <v>696</v>
      </c>
      <c r="C740" s="11">
        <f xml:space="preserve">      3300</f>
        <v>3300</v>
      </c>
      <c r="D740" s="11"/>
      <c r="E740" s="17"/>
      <c r="F740" s="12"/>
      <c r="G740" s="8">
        <f t="shared" si="11"/>
        <v>0</v>
      </c>
      <c r="H740" s="1"/>
    </row>
    <row r="741" spans="1:8" ht="15.75" customHeight="1">
      <c r="A741" s="6">
        <v>737</v>
      </c>
      <c r="B741" s="11" t="s">
        <v>697</v>
      </c>
      <c r="C741" s="11">
        <f xml:space="preserve">      2900</f>
        <v>2900</v>
      </c>
      <c r="D741" s="11"/>
      <c r="E741" s="17"/>
      <c r="F741" s="12"/>
      <c r="G741" s="8">
        <f t="shared" si="11"/>
        <v>0</v>
      </c>
      <c r="H741" s="1"/>
    </row>
    <row r="742" spans="1:8" ht="15.75" customHeight="1">
      <c r="A742" s="6">
        <v>738</v>
      </c>
      <c r="B742" s="11" t="s">
        <v>698</v>
      </c>
      <c r="C742" s="11">
        <f xml:space="preserve">      3850</f>
        <v>3850</v>
      </c>
      <c r="D742" s="11"/>
      <c r="E742" s="17"/>
      <c r="F742" s="12"/>
      <c r="G742" s="8">
        <f t="shared" si="11"/>
        <v>0</v>
      </c>
      <c r="H742" s="1"/>
    </row>
    <row r="743" spans="1:8" ht="15.75" customHeight="1">
      <c r="A743" s="6">
        <v>739</v>
      </c>
      <c r="B743" s="11" t="s">
        <v>699</v>
      </c>
      <c r="C743" s="11">
        <f xml:space="preserve">      2500</f>
        <v>2500</v>
      </c>
      <c r="D743" s="11"/>
      <c r="E743" s="17"/>
      <c r="F743" s="12"/>
      <c r="G743" s="8">
        <f t="shared" si="11"/>
        <v>0</v>
      </c>
      <c r="H743" s="1"/>
    </row>
    <row r="744" spans="1:8" ht="15.75" customHeight="1">
      <c r="A744" s="6">
        <v>740</v>
      </c>
      <c r="B744" s="11" t="s">
        <v>700</v>
      </c>
      <c r="C744" s="11">
        <f xml:space="preserve">      1650</f>
        <v>1650</v>
      </c>
      <c r="D744" s="11"/>
      <c r="E744" s="17"/>
      <c r="F744" s="12"/>
      <c r="G744" s="8">
        <f t="shared" si="11"/>
        <v>0</v>
      </c>
      <c r="H744" s="1"/>
    </row>
    <row r="745" spans="1:8" ht="15.75" customHeight="1">
      <c r="A745" s="6">
        <v>741</v>
      </c>
      <c r="B745" s="11" t="s">
        <v>701</v>
      </c>
      <c r="C745" s="11">
        <f xml:space="preserve">      4200</f>
        <v>4200</v>
      </c>
      <c r="D745" s="11"/>
      <c r="E745" s="17"/>
      <c r="F745" s="12"/>
      <c r="G745" s="8">
        <f t="shared" si="11"/>
        <v>0</v>
      </c>
      <c r="H745" s="1"/>
    </row>
    <row r="746" spans="1:8" ht="15.75" customHeight="1">
      <c r="A746" s="6">
        <v>742</v>
      </c>
      <c r="B746" s="11" t="s">
        <v>702</v>
      </c>
      <c r="C746" s="11">
        <f xml:space="preserve">     21900</f>
        <v>21900</v>
      </c>
      <c r="D746" s="11"/>
      <c r="E746" s="17"/>
      <c r="F746" s="12"/>
      <c r="G746" s="8">
        <f t="shared" si="11"/>
        <v>0</v>
      </c>
      <c r="H746" s="1"/>
    </row>
    <row r="747" spans="1:8" ht="15.75" customHeight="1">
      <c r="A747" s="6">
        <v>743</v>
      </c>
      <c r="B747" s="11" t="s">
        <v>702</v>
      </c>
      <c r="C747" s="11">
        <f xml:space="preserve">     21800</f>
        <v>21800</v>
      </c>
      <c r="D747" s="11"/>
      <c r="E747" s="17"/>
      <c r="F747" s="12"/>
      <c r="G747" s="8">
        <f t="shared" si="11"/>
        <v>0</v>
      </c>
      <c r="H747" s="1"/>
    </row>
    <row r="748" spans="1:8" ht="15.75" customHeight="1">
      <c r="A748" s="6">
        <v>744</v>
      </c>
      <c r="B748" s="11" t="s">
        <v>703</v>
      </c>
      <c r="C748" s="11">
        <f xml:space="preserve">    250100</f>
        <v>250100</v>
      </c>
      <c r="D748" s="11"/>
      <c r="E748" s="17"/>
      <c r="F748" s="12"/>
      <c r="G748" s="8">
        <f t="shared" si="11"/>
        <v>0</v>
      </c>
      <c r="H748" s="1"/>
    </row>
    <row r="749" spans="1:8" ht="15.75" customHeight="1">
      <c r="A749" s="6">
        <v>745</v>
      </c>
      <c r="B749" s="11" t="s">
        <v>704</v>
      </c>
      <c r="C749" s="11">
        <f xml:space="preserve">    151350</f>
        <v>151350</v>
      </c>
      <c r="D749" s="11"/>
      <c r="E749" s="17"/>
      <c r="F749" s="12"/>
      <c r="G749" s="8">
        <f t="shared" si="11"/>
        <v>0</v>
      </c>
      <c r="H749" s="1"/>
    </row>
    <row r="750" spans="1:8" ht="15.75" customHeight="1">
      <c r="A750" s="6">
        <v>746</v>
      </c>
      <c r="B750" s="11" t="s">
        <v>705</v>
      </c>
      <c r="C750" s="11">
        <f xml:space="preserve">    185200</f>
        <v>185200</v>
      </c>
      <c r="D750" s="11"/>
      <c r="E750" s="17"/>
      <c r="F750" s="12"/>
      <c r="G750" s="8">
        <f t="shared" si="11"/>
        <v>0</v>
      </c>
      <c r="H750" s="1"/>
    </row>
    <row r="751" spans="1:8" ht="15.75" customHeight="1">
      <c r="A751" s="6">
        <v>747</v>
      </c>
      <c r="B751" s="11" t="s">
        <v>706</v>
      </c>
      <c r="C751" s="11">
        <f xml:space="preserve">     55950</f>
        <v>55950</v>
      </c>
      <c r="D751" s="11"/>
      <c r="E751" s="17"/>
      <c r="F751" s="12"/>
      <c r="G751" s="8">
        <f t="shared" si="11"/>
        <v>0</v>
      </c>
      <c r="H751" s="1"/>
    </row>
    <row r="752" spans="1:8" ht="15.75" customHeight="1">
      <c r="A752" s="6">
        <v>748</v>
      </c>
      <c r="B752" s="11" t="s">
        <v>707</v>
      </c>
      <c r="C752" s="11">
        <f xml:space="preserve">     63100</f>
        <v>63100</v>
      </c>
      <c r="D752" s="11"/>
      <c r="E752" s="17"/>
      <c r="F752" s="12"/>
      <c r="G752" s="8">
        <f t="shared" si="11"/>
        <v>0</v>
      </c>
      <c r="H752" s="1"/>
    </row>
    <row r="753" spans="1:8" ht="15.75" customHeight="1">
      <c r="A753" s="6">
        <v>749</v>
      </c>
      <c r="B753" s="11" t="s">
        <v>708</v>
      </c>
      <c r="C753" s="11">
        <f xml:space="preserve">     67250</f>
        <v>67250</v>
      </c>
      <c r="D753" s="11"/>
      <c r="E753" s="17"/>
      <c r="F753" s="12"/>
      <c r="G753" s="8">
        <f t="shared" si="11"/>
        <v>0</v>
      </c>
      <c r="H753" s="1"/>
    </row>
    <row r="754" spans="1:8" ht="15.75" customHeight="1">
      <c r="A754" s="6">
        <v>750</v>
      </c>
      <c r="B754" s="11" t="s">
        <v>709</v>
      </c>
      <c r="C754" s="11">
        <f xml:space="preserve">      2800</f>
        <v>2800</v>
      </c>
      <c r="D754" s="11"/>
      <c r="E754" s="17"/>
      <c r="F754" s="12"/>
      <c r="G754" s="8">
        <f t="shared" si="11"/>
        <v>0</v>
      </c>
      <c r="H754" s="1"/>
    </row>
    <row r="755" spans="1:8" ht="15.75" customHeight="1">
      <c r="A755" s="6">
        <v>751</v>
      </c>
      <c r="B755" s="11" t="s">
        <v>710</v>
      </c>
      <c r="C755" s="11">
        <f xml:space="preserve">      2625</f>
        <v>2625</v>
      </c>
      <c r="D755" s="11"/>
      <c r="E755" s="17"/>
      <c r="F755" s="12"/>
      <c r="G755" s="8">
        <f t="shared" si="11"/>
        <v>0</v>
      </c>
      <c r="H755" s="1"/>
    </row>
    <row r="756" spans="1:8" ht="15.75" customHeight="1">
      <c r="A756" s="6">
        <v>752</v>
      </c>
      <c r="B756" s="11" t="s">
        <v>711</v>
      </c>
      <c r="C756" s="11">
        <f xml:space="preserve">      2300</f>
        <v>2300</v>
      </c>
      <c r="D756" s="11"/>
      <c r="E756" s="17"/>
      <c r="F756" s="12"/>
      <c r="G756" s="8">
        <f t="shared" si="11"/>
        <v>0</v>
      </c>
      <c r="H756" s="1"/>
    </row>
    <row r="757" spans="1:8" ht="15.75" customHeight="1">
      <c r="A757" s="6">
        <v>753</v>
      </c>
      <c r="B757" s="11" t="s">
        <v>712</v>
      </c>
      <c r="C757" s="11">
        <f xml:space="preserve">      2250</f>
        <v>2250</v>
      </c>
      <c r="D757" s="11"/>
      <c r="E757" s="17"/>
      <c r="F757" s="12"/>
      <c r="G757" s="8">
        <f t="shared" si="11"/>
        <v>0</v>
      </c>
      <c r="H757" s="1"/>
    </row>
    <row r="758" spans="1:8" ht="15.75" customHeight="1">
      <c r="A758" s="6">
        <v>754</v>
      </c>
      <c r="B758" s="11" t="s">
        <v>713</v>
      </c>
      <c r="C758" s="11">
        <f xml:space="preserve">      2280</f>
        <v>2280</v>
      </c>
      <c r="D758" s="11"/>
      <c r="E758" s="17"/>
      <c r="F758" s="12"/>
      <c r="G758" s="8">
        <f t="shared" si="11"/>
        <v>0</v>
      </c>
      <c r="H758" s="1"/>
    </row>
    <row r="759" spans="1:8" ht="15.75" customHeight="1">
      <c r="A759" s="6">
        <v>755</v>
      </c>
      <c r="B759" s="11" t="s">
        <v>714</v>
      </c>
      <c r="C759" s="11">
        <f xml:space="preserve">      4400</f>
        <v>4400</v>
      </c>
      <c r="D759" s="11"/>
      <c r="E759" s="17"/>
      <c r="F759" s="12"/>
      <c r="G759" s="8">
        <f t="shared" si="11"/>
        <v>0</v>
      </c>
      <c r="H759" s="1"/>
    </row>
    <row r="760" spans="1:8" ht="15.75" customHeight="1">
      <c r="A760" s="6">
        <v>756</v>
      </c>
      <c r="B760" s="11" t="s">
        <v>2465</v>
      </c>
      <c r="C760" s="11">
        <f xml:space="preserve">     75000</f>
        <v>75000</v>
      </c>
      <c r="D760" s="11"/>
      <c r="E760" s="17"/>
      <c r="F760" s="12"/>
      <c r="G760" s="8">
        <f t="shared" si="11"/>
        <v>0</v>
      </c>
      <c r="H760" s="1"/>
    </row>
    <row r="761" spans="1:8" ht="15.75" customHeight="1">
      <c r="A761" s="6">
        <v>757</v>
      </c>
      <c r="B761" s="11" t="s">
        <v>715</v>
      </c>
      <c r="C761" s="11">
        <f xml:space="preserve">     44350</f>
        <v>44350</v>
      </c>
      <c r="D761" s="11"/>
      <c r="E761" s="17"/>
      <c r="F761" s="12"/>
      <c r="G761" s="8">
        <f t="shared" si="11"/>
        <v>0</v>
      </c>
      <c r="H761" s="1"/>
    </row>
    <row r="762" spans="1:8" ht="15.75" customHeight="1">
      <c r="A762" s="6">
        <v>758</v>
      </c>
      <c r="B762" s="11" t="s">
        <v>716</v>
      </c>
      <c r="C762" s="11">
        <f xml:space="preserve">     91250</f>
        <v>91250</v>
      </c>
      <c r="D762" s="11"/>
      <c r="E762" s="17"/>
      <c r="F762" s="12"/>
      <c r="G762" s="8">
        <f t="shared" si="11"/>
        <v>0</v>
      </c>
      <c r="H762" s="1"/>
    </row>
    <row r="763" spans="1:8" ht="15.75" customHeight="1">
      <c r="A763" s="6">
        <v>759</v>
      </c>
      <c r="B763" s="11" t="s">
        <v>717</v>
      </c>
      <c r="C763" s="11">
        <f xml:space="preserve">     86350</f>
        <v>86350</v>
      </c>
      <c r="D763" s="11"/>
      <c r="E763" s="17"/>
      <c r="F763" s="12"/>
      <c r="G763" s="8">
        <f t="shared" si="11"/>
        <v>0</v>
      </c>
      <c r="H763" s="1"/>
    </row>
    <row r="764" spans="1:8" ht="15.75" customHeight="1">
      <c r="A764" s="6">
        <v>760</v>
      </c>
      <c r="B764" s="11" t="s">
        <v>718</v>
      </c>
      <c r="C764" s="11">
        <f xml:space="preserve">    362200</f>
        <v>362200</v>
      </c>
      <c r="D764" s="11"/>
      <c r="E764" s="17"/>
      <c r="F764" s="12"/>
      <c r="G764" s="8">
        <f t="shared" si="11"/>
        <v>0</v>
      </c>
      <c r="H764" s="1"/>
    </row>
    <row r="765" spans="1:8" ht="15.75" customHeight="1">
      <c r="A765" s="6">
        <v>761</v>
      </c>
      <c r="B765" s="11" t="s">
        <v>719</v>
      </c>
      <c r="C765" s="11">
        <f xml:space="preserve">     22800</f>
        <v>22800</v>
      </c>
      <c r="D765" s="11"/>
      <c r="E765" s="17"/>
      <c r="F765" s="12"/>
      <c r="G765" s="8">
        <f t="shared" si="11"/>
        <v>0</v>
      </c>
      <c r="H765" s="1"/>
    </row>
    <row r="766" spans="1:8" ht="15.75" customHeight="1">
      <c r="A766" s="6">
        <v>762</v>
      </c>
      <c r="B766" s="11" t="s">
        <v>720</v>
      </c>
      <c r="C766" s="11">
        <f xml:space="preserve">     52100</f>
        <v>52100</v>
      </c>
      <c r="D766" s="11"/>
      <c r="E766" s="17"/>
      <c r="F766" s="12"/>
      <c r="G766" s="8">
        <f t="shared" si="11"/>
        <v>0</v>
      </c>
      <c r="H766" s="1"/>
    </row>
    <row r="767" spans="1:8" ht="15.75" customHeight="1">
      <c r="A767" s="6">
        <v>763</v>
      </c>
      <c r="B767" s="11" t="s">
        <v>721</v>
      </c>
      <c r="C767" s="11">
        <f xml:space="preserve">      2600</f>
        <v>2600</v>
      </c>
      <c r="D767" s="11"/>
      <c r="E767" s="17"/>
      <c r="F767" s="12"/>
      <c r="G767" s="8">
        <f t="shared" si="11"/>
        <v>0</v>
      </c>
      <c r="H767" s="1"/>
    </row>
    <row r="768" spans="1:8" ht="15.75" customHeight="1">
      <c r="A768" s="6">
        <v>764</v>
      </c>
      <c r="B768" s="11" t="s">
        <v>722</v>
      </c>
      <c r="C768" s="11">
        <f xml:space="preserve">       900</f>
        <v>900</v>
      </c>
      <c r="D768" s="11"/>
      <c r="E768" s="17"/>
      <c r="F768" s="12"/>
      <c r="G768" s="8">
        <f t="shared" si="11"/>
        <v>0</v>
      </c>
      <c r="H768" s="1"/>
    </row>
    <row r="769" spans="1:8" ht="15.75" customHeight="1">
      <c r="A769" s="6">
        <v>765</v>
      </c>
      <c r="B769" s="11" t="s">
        <v>723</v>
      </c>
      <c r="C769" s="11">
        <f xml:space="preserve">     32550</f>
        <v>32550</v>
      </c>
      <c r="D769" s="11"/>
      <c r="E769" s="17"/>
      <c r="F769" s="12"/>
      <c r="G769" s="8">
        <f t="shared" si="11"/>
        <v>0</v>
      </c>
      <c r="H769" s="1"/>
    </row>
    <row r="770" spans="1:8" ht="15.75" customHeight="1">
      <c r="A770" s="6">
        <v>766</v>
      </c>
      <c r="B770" s="11" t="s">
        <v>724</v>
      </c>
      <c r="C770" s="11">
        <f xml:space="preserve">      5000</f>
        <v>5000</v>
      </c>
      <c r="D770" s="11"/>
      <c r="E770" s="17"/>
      <c r="F770" s="12"/>
      <c r="G770" s="8">
        <f t="shared" si="11"/>
        <v>0</v>
      </c>
      <c r="H770" s="1"/>
    </row>
    <row r="771" spans="1:8" ht="15.75" customHeight="1">
      <c r="A771" s="6">
        <v>767</v>
      </c>
      <c r="B771" s="11" t="s">
        <v>725</v>
      </c>
      <c r="C771" s="11">
        <f xml:space="preserve">     36000</f>
        <v>36000</v>
      </c>
      <c r="D771" s="11"/>
      <c r="E771" s="17"/>
      <c r="F771" s="12"/>
      <c r="G771" s="8">
        <f t="shared" si="11"/>
        <v>0</v>
      </c>
      <c r="H771" s="1"/>
    </row>
    <row r="772" spans="1:8" ht="15.75" customHeight="1">
      <c r="A772" s="6">
        <v>768</v>
      </c>
      <c r="B772" s="11" t="s">
        <v>726</v>
      </c>
      <c r="C772" s="11">
        <f xml:space="preserve">     36650</f>
        <v>36650</v>
      </c>
      <c r="D772" s="11"/>
      <c r="E772" s="17"/>
      <c r="F772" s="12"/>
      <c r="G772" s="8">
        <f t="shared" si="11"/>
        <v>0</v>
      </c>
      <c r="H772" s="1"/>
    </row>
    <row r="773" spans="1:8" ht="15.75" customHeight="1">
      <c r="A773" s="6">
        <v>769</v>
      </c>
      <c r="B773" s="11" t="s">
        <v>727</v>
      </c>
      <c r="C773" s="11">
        <f xml:space="preserve">      7700</f>
        <v>7700</v>
      </c>
      <c r="D773" s="11"/>
      <c r="E773" s="17"/>
      <c r="F773" s="12"/>
      <c r="G773" s="8">
        <f t="shared" ref="G773:G836" si="12">C773*D773+E773*F773</f>
        <v>0</v>
      </c>
      <c r="H773" s="1"/>
    </row>
    <row r="774" spans="1:8" ht="15.75" customHeight="1">
      <c r="A774" s="6">
        <v>770</v>
      </c>
      <c r="B774" s="11" t="s">
        <v>728</v>
      </c>
      <c r="C774" s="11">
        <f xml:space="preserve">     26200</f>
        <v>26200</v>
      </c>
      <c r="D774" s="11"/>
      <c r="E774" s="17"/>
      <c r="F774" s="12"/>
      <c r="G774" s="8">
        <f t="shared" si="12"/>
        <v>0</v>
      </c>
      <c r="H774" s="1"/>
    </row>
    <row r="775" spans="1:8" ht="15.75" customHeight="1">
      <c r="A775" s="6">
        <v>771</v>
      </c>
      <c r="B775" s="11" t="s">
        <v>729</v>
      </c>
      <c r="C775" s="11">
        <f xml:space="preserve">     28650</f>
        <v>28650</v>
      </c>
      <c r="D775" s="11"/>
      <c r="E775" s="17"/>
      <c r="F775" s="12"/>
      <c r="G775" s="8">
        <f t="shared" si="12"/>
        <v>0</v>
      </c>
      <c r="H775" s="1"/>
    </row>
    <row r="776" spans="1:8" ht="15.75" customHeight="1">
      <c r="A776" s="6">
        <v>772</v>
      </c>
      <c r="B776" s="11" t="s">
        <v>730</v>
      </c>
      <c r="C776" s="11">
        <f xml:space="preserve">     18250</f>
        <v>18250</v>
      </c>
      <c r="D776" s="11"/>
      <c r="E776" s="17"/>
      <c r="F776" s="12"/>
      <c r="G776" s="8">
        <f t="shared" si="12"/>
        <v>0</v>
      </c>
      <c r="H776" s="1"/>
    </row>
    <row r="777" spans="1:8" ht="15.75" customHeight="1">
      <c r="A777" s="6">
        <v>773</v>
      </c>
      <c r="B777" s="11" t="s">
        <v>731</v>
      </c>
      <c r="C777" s="11">
        <f xml:space="preserve">     32400</f>
        <v>32400</v>
      </c>
      <c r="D777" s="11"/>
      <c r="E777" s="17"/>
      <c r="F777" s="12"/>
      <c r="G777" s="8">
        <f t="shared" si="12"/>
        <v>0</v>
      </c>
      <c r="H777" s="1"/>
    </row>
    <row r="778" spans="1:8" ht="15.75" customHeight="1">
      <c r="A778" s="6">
        <v>774</v>
      </c>
      <c r="B778" s="11" t="s">
        <v>732</v>
      </c>
      <c r="C778" s="11">
        <f xml:space="preserve">      3820</f>
        <v>3820</v>
      </c>
      <c r="D778" s="11"/>
      <c r="E778" s="17"/>
      <c r="F778" s="12"/>
      <c r="G778" s="8">
        <f t="shared" si="12"/>
        <v>0</v>
      </c>
      <c r="H778" s="1"/>
    </row>
    <row r="779" spans="1:8" ht="15.75" customHeight="1">
      <c r="A779" s="6">
        <v>775</v>
      </c>
      <c r="B779" s="11" t="s">
        <v>733</v>
      </c>
      <c r="C779" s="11">
        <f xml:space="preserve">      3625</f>
        <v>3625</v>
      </c>
      <c r="D779" s="11"/>
      <c r="E779" s="17"/>
      <c r="F779" s="12"/>
      <c r="G779" s="8">
        <f t="shared" si="12"/>
        <v>0</v>
      </c>
      <c r="H779" s="1"/>
    </row>
    <row r="780" spans="1:8" ht="15.75" customHeight="1">
      <c r="A780" s="6">
        <v>776</v>
      </c>
      <c r="B780" s="11" t="s">
        <v>734</v>
      </c>
      <c r="C780" s="11">
        <f xml:space="preserve">      7500</f>
        <v>7500</v>
      </c>
      <c r="D780" s="11"/>
      <c r="E780" s="17"/>
      <c r="F780" s="12"/>
      <c r="G780" s="8">
        <f t="shared" si="12"/>
        <v>0</v>
      </c>
      <c r="H780" s="1"/>
    </row>
    <row r="781" spans="1:8" ht="15.75" customHeight="1">
      <c r="A781" s="6">
        <v>777</v>
      </c>
      <c r="B781" s="11" t="s">
        <v>735</v>
      </c>
      <c r="C781" s="11">
        <f xml:space="preserve">      3650</f>
        <v>3650</v>
      </c>
      <c r="D781" s="11"/>
      <c r="E781" s="17"/>
      <c r="F781" s="12"/>
      <c r="G781" s="8">
        <f t="shared" si="12"/>
        <v>0</v>
      </c>
      <c r="H781" s="1"/>
    </row>
    <row r="782" spans="1:8" ht="15.75" customHeight="1">
      <c r="A782" s="6">
        <v>778</v>
      </c>
      <c r="B782" s="11" t="s">
        <v>736</v>
      </c>
      <c r="C782" s="11">
        <f xml:space="preserve">      9750</f>
        <v>9750</v>
      </c>
      <c r="D782" s="11"/>
      <c r="E782" s="17"/>
      <c r="F782" s="12"/>
      <c r="G782" s="8">
        <f t="shared" si="12"/>
        <v>0</v>
      </c>
      <c r="H782" s="1"/>
    </row>
    <row r="783" spans="1:8" ht="15.75" customHeight="1">
      <c r="A783" s="6">
        <v>779</v>
      </c>
      <c r="B783" s="11" t="s">
        <v>737</v>
      </c>
      <c r="C783" s="11">
        <f xml:space="preserve">      3700</f>
        <v>3700</v>
      </c>
      <c r="D783" s="11"/>
      <c r="E783" s="17"/>
      <c r="F783" s="12"/>
      <c r="G783" s="8">
        <f t="shared" si="12"/>
        <v>0</v>
      </c>
      <c r="H783" s="1"/>
    </row>
    <row r="784" spans="1:8" ht="15.75" customHeight="1">
      <c r="A784" s="6">
        <v>780</v>
      </c>
      <c r="B784" s="11" t="s">
        <v>738</v>
      </c>
      <c r="C784" s="11">
        <f xml:space="preserve">      4900</f>
        <v>4900</v>
      </c>
      <c r="D784" s="11"/>
      <c r="E784" s="17"/>
      <c r="F784" s="12"/>
      <c r="G784" s="8">
        <f t="shared" si="12"/>
        <v>0</v>
      </c>
      <c r="H784" s="1"/>
    </row>
    <row r="785" spans="1:8" ht="15.75" customHeight="1">
      <c r="A785" s="6">
        <v>781</v>
      </c>
      <c r="B785" s="11" t="s">
        <v>2466</v>
      </c>
      <c r="C785" s="11">
        <f xml:space="preserve">      8000</f>
        <v>8000</v>
      </c>
      <c r="D785" s="11"/>
      <c r="E785" s="17"/>
      <c r="F785" s="12"/>
      <c r="G785" s="8">
        <f t="shared" si="12"/>
        <v>0</v>
      </c>
      <c r="H785" s="1"/>
    </row>
    <row r="786" spans="1:8" ht="15.75" customHeight="1">
      <c r="A786" s="6">
        <v>782</v>
      </c>
      <c r="B786" s="11" t="s">
        <v>739</v>
      </c>
      <c r="C786" s="11">
        <f xml:space="preserve">      3300</f>
        <v>3300</v>
      </c>
      <c r="D786" s="11"/>
      <c r="E786" s="17"/>
      <c r="F786" s="12"/>
      <c r="G786" s="8">
        <f t="shared" si="12"/>
        <v>0</v>
      </c>
      <c r="H786" s="1"/>
    </row>
    <row r="787" spans="1:8" ht="15.75" customHeight="1">
      <c r="A787" s="6">
        <v>783</v>
      </c>
      <c r="B787" s="11" t="s">
        <v>740</v>
      </c>
      <c r="C787" s="11">
        <f xml:space="preserve">      4700</f>
        <v>4700</v>
      </c>
      <c r="D787" s="11"/>
      <c r="E787" s="17"/>
      <c r="F787" s="12"/>
      <c r="G787" s="8">
        <f t="shared" si="12"/>
        <v>0</v>
      </c>
      <c r="H787" s="1"/>
    </row>
    <row r="788" spans="1:8" ht="15.75" customHeight="1">
      <c r="A788" s="6">
        <v>784</v>
      </c>
      <c r="B788" s="11" t="s">
        <v>741</v>
      </c>
      <c r="C788" s="11">
        <f xml:space="preserve">     28700</f>
        <v>28700</v>
      </c>
      <c r="D788" s="11"/>
      <c r="E788" s="17"/>
      <c r="F788" s="12"/>
      <c r="G788" s="8">
        <f t="shared" si="12"/>
        <v>0</v>
      </c>
      <c r="H788" s="1"/>
    </row>
    <row r="789" spans="1:8" ht="15.75" customHeight="1">
      <c r="A789" s="6">
        <v>785</v>
      </c>
      <c r="B789" s="11" t="s">
        <v>742</v>
      </c>
      <c r="C789" s="11">
        <f xml:space="preserve">      1350</f>
        <v>1350</v>
      </c>
      <c r="D789" s="11"/>
      <c r="E789" s="17"/>
      <c r="F789" s="12"/>
      <c r="G789" s="8">
        <f t="shared" si="12"/>
        <v>0</v>
      </c>
      <c r="H789" s="1"/>
    </row>
    <row r="790" spans="1:8" ht="15.75" customHeight="1">
      <c r="A790" s="6">
        <v>786</v>
      </c>
      <c r="B790" s="11" t="s">
        <v>743</v>
      </c>
      <c r="C790" s="11">
        <f xml:space="preserve">     36650</f>
        <v>36650</v>
      </c>
      <c r="D790" s="11"/>
      <c r="E790" s="17"/>
      <c r="F790" s="12"/>
      <c r="G790" s="8">
        <f t="shared" si="12"/>
        <v>0</v>
      </c>
      <c r="H790" s="1"/>
    </row>
    <row r="791" spans="1:8" ht="15.75" customHeight="1">
      <c r="A791" s="6">
        <v>787</v>
      </c>
      <c r="B791" s="11" t="s">
        <v>744</v>
      </c>
      <c r="C791" s="11">
        <f xml:space="preserve">     35550</f>
        <v>35550</v>
      </c>
      <c r="D791" s="11"/>
      <c r="E791" s="17"/>
      <c r="F791" s="12"/>
      <c r="G791" s="8">
        <f t="shared" si="12"/>
        <v>0</v>
      </c>
      <c r="H791" s="1"/>
    </row>
    <row r="792" spans="1:8" ht="15.75" customHeight="1">
      <c r="A792" s="6">
        <v>788</v>
      </c>
      <c r="B792" s="11" t="s">
        <v>745</v>
      </c>
      <c r="C792" s="11">
        <f xml:space="preserve">     42350</f>
        <v>42350</v>
      </c>
      <c r="D792" s="11"/>
      <c r="E792" s="17"/>
      <c r="F792" s="12"/>
      <c r="G792" s="8">
        <f t="shared" si="12"/>
        <v>0</v>
      </c>
      <c r="H792" s="1"/>
    </row>
    <row r="793" spans="1:8" ht="15.75" customHeight="1">
      <c r="A793" s="6">
        <v>789</v>
      </c>
      <c r="B793" s="11" t="s">
        <v>745</v>
      </c>
      <c r="C793" s="11">
        <f xml:space="preserve">     42350</f>
        <v>42350</v>
      </c>
      <c r="D793" s="11"/>
      <c r="E793" s="17"/>
      <c r="F793" s="12"/>
      <c r="G793" s="8">
        <f t="shared" si="12"/>
        <v>0</v>
      </c>
      <c r="H793" s="1"/>
    </row>
    <row r="794" spans="1:8" ht="15.75" customHeight="1">
      <c r="A794" s="6">
        <v>790</v>
      </c>
      <c r="B794" s="11" t="s">
        <v>746</v>
      </c>
      <c r="C794" s="11">
        <f xml:space="preserve">     22000</f>
        <v>22000</v>
      </c>
      <c r="D794" s="11"/>
      <c r="E794" s="17"/>
      <c r="F794" s="12"/>
      <c r="G794" s="8">
        <f t="shared" si="12"/>
        <v>0</v>
      </c>
      <c r="H794" s="1"/>
    </row>
    <row r="795" spans="1:8" ht="15.75" customHeight="1">
      <c r="A795" s="6">
        <v>791</v>
      </c>
      <c r="B795" s="11" t="s">
        <v>747</v>
      </c>
      <c r="C795" s="11">
        <f xml:space="preserve">     47200</f>
        <v>47200</v>
      </c>
      <c r="D795" s="11"/>
      <c r="E795" s="17"/>
      <c r="F795" s="12"/>
      <c r="G795" s="8">
        <f t="shared" si="12"/>
        <v>0</v>
      </c>
      <c r="H795" s="1"/>
    </row>
    <row r="796" spans="1:8" ht="15.75" customHeight="1">
      <c r="A796" s="6">
        <v>792</v>
      </c>
      <c r="B796" s="11" t="s">
        <v>747</v>
      </c>
      <c r="C796" s="11">
        <f xml:space="preserve">     47300</f>
        <v>47300</v>
      </c>
      <c r="D796" s="11"/>
      <c r="E796" s="17"/>
      <c r="F796" s="12"/>
      <c r="G796" s="8">
        <f t="shared" si="12"/>
        <v>0</v>
      </c>
      <c r="H796" s="1"/>
    </row>
    <row r="797" spans="1:8" ht="15.75" customHeight="1">
      <c r="A797" s="6">
        <v>793</v>
      </c>
      <c r="B797" s="11" t="s">
        <v>748</v>
      </c>
      <c r="C797" s="11">
        <f xml:space="preserve">     39500</f>
        <v>39500</v>
      </c>
      <c r="D797" s="11"/>
      <c r="E797" s="17"/>
      <c r="F797" s="12"/>
      <c r="G797" s="8">
        <f t="shared" si="12"/>
        <v>0</v>
      </c>
      <c r="H797" s="1"/>
    </row>
    <row r="798" spans="1:8" ht="15.75" customHeight="1">
      <c r="A798" s="6">
        <v>794</v>
      </c>
      <c r="B798" s="11" t="s">
        <v>749</v>
      </c>
      <c r="C798" s="11">
        <f xml:space="preserve">      5500</f>
        <v>5500</v>
      </c>
      <c r="D798" s="11"/>
      <c r="E798" s="17"/>
      <c r="F798" s="12"/>
      <c r="G798" s="8">
        <f t="shared" si="12"/>
        <v>0</v>
      </c>
      <c r="H798" s="1"/>
    </row>
    <row r="799" spans="1:8" ht="15.75" customHeight="1">
      <c r="A799" s="6">
        <v>795</v>
      </c>
      <c r="B799" s="11" t="s">
        <v>750</v>
      </c>
      <c r="C799" s="11">
        <f xml:space="preserve">    127000</f>
        <v>127000</v>
      </c>
      <c r="D799" s="11"/>
      <c r="E799" s="17"/>
      <c r="F799" s="12"/>
      <c r="G799" s="8">
        <f t="shared" si="12"/>
        <v>0</v>
      </c>
      <c r="H799" s="1"/>
    </row>
    <row r="800" spans="1:8" ht="15.75" customHeight="1">
      <c r="A800" s="6">
        <v>796</v>
      </c>
      <c r="B800" s="11" t="s">
        <v>751</v>
      </c>
      <c r="C800" s="11">
        <f xml:space="preserve">     33800</f>
        <v>33800</v>
      </c>
      <c r="D800" s="11"/>
      <c r="E800" s="17"/>
      <c r="F800" s="12"/>
      <c r="G800" s="8">
        <f t="shared" si="12"/>
        <v>0</v>
      </c>
      <c r="H800" s="1"/>
    </row>
    <row r="801" spans="1:8" ht="15.75" customHeight="1">
      <c r="A801" s="6">
        <v>797</v>
      </c>
      <c r="B801" s="11" t="s">
        <v>752</v>
      </c>
      <c r="C801" s="11">
        <f xml:space="preserve">     57450</f>
        <v>57450</v>
      </c>
      <c r="D801" s="11"/>
      <c r="E801" s="17"/>
      <c r="F801" s="12"/>
      <c r="G801" s="8">
        <f t="shared" si="12"/>
        <v>0</v>
      </c>
      <c r="H801" s="1"/>
    </row>
    <row r="802" spans="1:8" ht="15.75" customHeight="1">
      <c r="A802" s="6">
        <v>798</v>
      </c>
      <c r="B802" s="11" t="s">
        <v>753</v>
      </c>
      <c r="C802" s="11">
        <f xml:space="preserve">    101550</f>
        <v>101550</v>
      </c>
      <c r="D802" s="11"/>
      <c r="E802" s="17"/>
      <c r="F802" s="12"/>
      <c r="G802" s="8">
        <f t="shared" si="12"/>
        <v>0</v>
      </c>
      <c r="H802" s="1"/>
    </row>
    <row r="803" spans="1:8" ht="15.75" customHeight="1">
      <c r="A803" s="6">
        <v>799</v>
      </c>
      <c r="B803" s="11" t="s">
        <v>754</v>
      </c>
      <c r="C803" s="11">
        <f xml:space="preserve">    199700</f>
        <v>199700</v>
      </c>
      <c r="D803" s="11"/>
      <c r="E803" s="17"/>
      <c r="F803" s="12"/>
      <c r="G803" s="8">
        <f t="shared" si="12"/>
        <v>0</v>
      </c>
      <c r="H803" s="1"/>
    </row>
    <row r="804" spans="1:8" ht="15.75" customHeight="1">
      <c r="A804" s="6">
        <v>800</v>
      </c>
      <c r="B804" s="11" t="s">
        <v>755</v>
      </c>
      <c r="C804" s="11">
        <f xml:space="preserve">     36600</f>
        <v>36600</v>
      </c>
      <c r="D804" s="11"/>
      <c r="E804" s="17"/>
      <c r="F804" s="12"/>
      <c r="G804" s="8">
        <f t="shared" si="12"/>
        <v>0</v>
      </c>
      <c r="H804" s="1"/>
    </row>
    <row r="805" spans="1:8" ht="15.75" customHeight="1">
      <c r="A805" s="6">
        <v>801</v>
      </c>
      <c r="B805" s="11" t="s">
        <v>756</v>
      </c>
      <c r="C805" s="11">
        <f xml:space="preserve">     28650</f>
        <v>28650</v>
      </c>
      <c r="D805" s="11"/>
      <c r="E805" s="17"/>
      <c r="F805" s="12"/>
      <c r="G805" s="8">
        <f t="shared" si="12"/>
        <v>0</v>
      </c>
      <c r="H805" s="1"/>
    </row>
    <row r="806" spans="1:8" ht="15.75" customHeight="1">
      <c r="A806" s="6">
        <v>802</v>
      </c>
      <c r="B806" s="11" t="s">
        <v>757</v>
      </c>
      <c r="C806" s="11">
        <f xml:space="preserve">     65350</f>
        <v>65350</v>
      </c>
      <c r="D806" s="11"/>
      <c r="E806" s="17"/>
      <c r="F806" s="12"/>
      <c r="G806" s="8">
        <f t="shared" si="12"/>
        <v>0</v>
      </c>
      <c r="H806" s="1"/>
    </row>
    <row r="807" spans="1:8" ht="15.75" customHeight="1">
      <c r="A807" s="6">
        <v>803</v>
      </c>
      <c r="B807" s="11" t="s">
        <v>758</v>
      </c>
      <c r="C807" s="11">
        <f xml:space="preserve">      2600</f>
        <v>2600</v>
      </c>
      <c r="D807" s="11"/>
      <c r="E807" s="17"/>
      <c r="F807" s="12"/>
      <c r="G807" s="8">
        <f t="shared" si="12"/>
        <v>0</v>
      </c>
      <c r="H807" s="1"/>
    </row>
    <row r="808" spans="1:8" ht="15.75" customHeight="1">
      <c r="A808" s="6">
        <v>804</v>
      </c>
      <c r="B808" s="11" t="s">
        <v>759</v>
      </c>
      <c r="C808" s="11">
        <f xml:space="preserve">     27100</f>
        <v>27100</v>
      </c>
      <c r="D808" s="11"/>
      <c r="E808" s="17"/>
      <c r="F808" s="12"/>
      <c r="G808" s="8">
        <f t="shared" si="12"/>
        <v>0</v>
      </c>
      <c r="H808" s="1"/>
    </row>
    <row r="809" spans="1:8" ht="15.75" customHeight="1">
      <c r="A809" s="6">
        <v>805</v>
      </c>
      <c r="B809" s="11" t="s">
        <v>760</v>
      </c>
      <c r="C809" s="11">
        <f xml:space="preserve">    192800</f>
        <v>192800</v>
      </c>
      <c r="D809" s="11"/>
      <c r="E809" s="17"/>
      <c r="F809" s="12"/>
      <c r="G809" s="8">
        <f t="shared" si="12"/>
        <v>0</v>
      </c>
      <c r="H809" s="1"/>
    </row>
    <row r="810" spans="1:8" ht="15.75" customHeight="1">
      <c r="A810" s="6">
        <v>806</v>
      </c>
      <c r="B810" s="11" t="s">
        <v>760</v>
      </c>
      <c r="C810" s="11">
        <f xml:space="preserve">    192800</f>
        <v>192800</v>
      </c>
      <c r="D810" s="11"/>
      <c r="E810" s="17"/>
      <c r="F810" s="12"/>
      <c r="G810" s="8">
        <f t="shared" si="12"/>
        <v>0</v>
      </c>
      <c r="H810" s="1"/>
    </row>
    <row r="811" spans="1:8" ht="15.75" customHeight="1">
      <c r="A811" s="6">
        <v>807</v>
      </c>
      <c r="B811" s="11" t="s">
        <v>761</v>
      </c>
      <c r="C811" s="11">
        <f xml:space="preserve">     35100</f>
        <v>35100</v>
      </c>
      <c r="D811" s="11"/>
      <c r="E811" s="17"/>
      <c r="F811" s="12"/>
      <c r="G811" s="8">
        <f t="shared" si="12"/>
        <v>0</v>
      </c>
      <c r="H811" s="1"/>
    </row>
    <row r="812" spans="1:8" ht="15.75" customHeight="1">
      <c r="A812" s="6">
        <v>808</v>
      </c>
      <c r="B812" s="11" t="s">
        <v>762</v>
      </c>
      <c r="C812" s="11">
        <f xml:space="preserve">     12350</f>
        <v>12350</v>
      </c>
      <c r="D812" s="11"/>
      <c r="E812" s="17"/>
      <c r="F812" s="12"/>
      <c r="G812" s="8">
        <f t="shared" si="12"/>
        <v>0</v>
      </c>
      <c r="H812" s="1"/>
    </row>
    <row r="813" spans="1:8" ht="15.75" customHeight="1">
      <c r="A813" s="6">
        <v>809</v>
      </c>
      <c r="B813" s="11" t="s">
        <v>763</v>
      </c>
      <c r="C813" s="11">
        <f xml:space="preserve">     22200</f>
        <v>22200</v>
      </c>
      <c r="D813" s="11"/>
      <c r="E813" s="17"/>
      <c r="F813" s="12"/>
      <c r="G813" s="8">
        <f t="shared" si="12"/>
        <v>0</v>
      </c>
      <c r="H813" s="1"/>
    </row>
    <row r="814" spans="1:8" ht="15.75" customHeight="1">
      <c r="A814" s="6">
        <v>810</v>
      </c>
      <c r="B814" s="11" t="s">
        <v>764</v>
      </c>
      <c r="C814" s="11">
        <f xml:space="preserve">     19500</f>
        <v>19500</v>
      </c>
      <c r="D814" s="11"/>
      <c r="E814" s="17"/>
      <c r="F814" s="12"/>
      <c r="G814" s="8">
        <f t="shared" si="12"/>
        <v>0</v>
      </c>
      <c r="H814" s="1"/>
    </row>
    <row r="815" spans="1:8" ht="15.75" customHeight="1">
      <c r="A815" s="6">
        <v>811</v>
      </c>
      <c r="B815" s="11" t="s">
        <v>765</v>
      </c>
      <c r="C815" s="11">
        <f xml:space="preserve">     24700</f>
        <v>24700</v>
      </c>
      <c r="D815" s="11"/>
      <c r="E815" s="17"/>
      <c r="F815" s="12"/>
      <c r="G815" s="8">
        <f t="shared" si="12"/>
        <v>0</v>
      </c>
      <c r="H815" s="1"/>
    </row>
    <row r="816" spans="1:8" ht="15.75" customHeight="1">
      <c r="A816" s="6">
        <v>812</v>
      </c>
      <c r="B816" s="11" t="s">
        <v>766</v>
      </c>
      <c r="C816" s="11">
        <f xml:space="preserve">     65800</f>
        <v>65800</v>
      </c>
      <c r="D816" s="11"/>
      <c r="E816" s="17"/>
      <c r="F816" s="12"/>
      <c r="G816" s="8">
        <f t="shared" si="12"/>
        <v>0</v>
      </c>
      <c r="H816" s="1"/>
    </row>
    <row r="817" spans="1:8" ht="15.75" customHeight="1">
      <c r="A817" s="6">
        <v>813</v>
      </c>
      <c r="B817" s="11" t="s">
        <v>767</v>
      </c>
      <c r="C817" s="11">
        <f xml:space="preserve">     48550</f>
        <v>48550</v>
      </c>
      <c r="D817" s="11"/>
      <c r="E817" s="17"/>
      <c r="F817" s="12"/>
      <c r="G817" s="8">
        <f t="shared" si="12"/>
        <v>0</v>
      </c>
      <c r="H817" s="1"/>
    </row>
    <row r="818" spans="1:8" ht="15.75" customHeight="1">
      <c r="A818" s="6">
        <v>814</v>
      </c>
      <c r="B818" s="11" t="s">
        <v>768</v>
      </c>
      <c r="C818" s="11">
        <f xml:space="preserve">     44100</f>
        <v>44100</v>
      </c>
      <c r="D818" s="11"/>
      <c r="E818" s="17"/>
      <c r="F818" s="12"/>
      <c r="G818" s="8">
        <f t="shared" si="12"/>
        <v>0</v>
      </c>
      <c r="H818" s="1"/>
    </row>
    <row r="819" spans="1:8" ht="15.75" customHeight="1">
      <c r="A819" s="6">
        <v>815</v>
      </c>
      <c r="B819" s="11" t="s">
        <v>769</v>
      </c>
      <c r="C819" s="11">
        <f xml:space="preserve">     15900</f>
        <v>15900</v>
      </c>
      <c r="D819" s="11"/>
      <c r="E819" s="17"/>
      <c r="F819" s="12"/>
      <c r="G819" s="8">
        <f t="shared" si="12"/>
        <v>0</v>
      </c>
      <c r="H819" s="1"/>
    </row>
    <row r="820" spans="1:8" ht="15.75" customHeight="1">
      <c r="A820" s="6">
        <v>816</v>
      </c>
      <c r="B820" s="11" t="s">
        <v>770</v>
      </c>
      <c r="C820" s="11">
        <f xml:space="preserve">    111300</f>
        <v>111300</v>
      </c>
      <c r="D820" s="11"/>
      <c r="E820" s="17"/>
      <c r="F820" s="12"/>
      <c r="G820" s="8">
        <f t="shared" si="12"/>
        <v>0</v>
      </c>
      <c r="H820" s="1"/>
    </row>
    <row r="821" spans="1:8" ht="15.75" customHeight="1">
      <c r="A821" s="6">
        <v>817</v>
      </c>
      <c r="B821" s="11" t="s">
        <v>771</v>
      </c>
      <c r="C821" s="11">
        <f xml:space="preserve">    108500</f>
        <v>108500</v>
      </c>
      <c r="D821" s="11"/>
      <c r="E821" s="17"/>
      <c r="F821" s="12"/>
      <c r="G821" s="8">
        <f t="shared" si="12"/>
        <v>0</v>
      </c>
      <c r="H821" s="1"/>
    </row>
    <row r="822" spans="1:8" ht="15.75" customHeight="1">
      <c r="A822" s="6">
        <v>818</v>
      </c>
      <c r="B822" s="11" t="s">
        <v>772</v>
      </c>
      <c r="C822" s="11">
        <f xml:space="preserve">    135000</f>
        <v>135000</v>
      </c>
      <c r="D822" s="11"/>
      <c r="E822" s="17"/>
      <c r="F822" s="12"/>
      <c r="G822" s="8">
        <f t="shared" si="12"/>
        <v>0</v>
      </c>
      <c r="H822" s="1"/>
    </row>
    <row r="823" spans="1:8" ht="15.75" customHeight="1">
      <c r="A823" s="6">
        <v>819</v>
      </c>
      <c r="B823" s="11" t="s">
        <v>773</v>
      </c>
      <c r="C823" s="11">
        <f xml:space="preserve">    135000</f>
        <v>135000</v>
      </c>
      <c r="D823" s="11"/>
      <c r="E823" s="17"/>
      <c r="F823" s="12"/>
      <c r="G823" s="8">
        <f t="shared" si="12"/>
        <v>0</v>
      </c>
      <c r="H823" s="1"/>
    </row>
    <row r="824" spans="1:8" ht="15.75" customHeight="1">
      <c r="A824" s="6">
        <v>820</v>
      </c>
      <c r="B824" s="11" t="s">
        <v>774</v>
      </c>
      <c r="C824" s="11">
        <f xml:space="preserve">    135000</f>
        <v>135000</v>
      </c>
      <c r="D824" s="11"/>
      <c r="E824" s="17"/>
      <c r="F824" s="12"/>
      <c r="G824" s="8">
        <f t="shared" si="12"/>
        <v>0</v>
      </c>
      <c r="H824" s="1"/>
    </row>
    <row r="825" spans="1:8" ht="15.75" customHeight="1">
      <c r="A825" s="6">
        <v>821</v>
      </c>
      <c r="B825" s="11" t="s">
        <v>775</v>
      </c>
      <c r="C825" s="11">
        <f xml:space="preserve">      6800</f>
        <v>6800</v>
      </c>
      <c r="D825" s="11"/>
      <c r="E825" s="17"/>
      <c r="F825" s="12"/>
      <c r="G825" s="8">
        <f t="shared" si="12"/>
        <v>0</v>
      </c>
      <c r="H825" s="1"/>
    </row>
    <row r="826" spans="1:8" ht="15.75" customHeight="1">
      <c r="A826" s="6">
        <v>822</v>
      </c>
      <c r="B826" s="11" t="s">
        <v>776</v>
      </c>
      <c r="C826" s="11">
        <f xml:space="preserve">     27200</f>
        <v>27200</v>
      </c>
      <c r="D826" s="11"/>
      <c r="E826" s="17"/>
      <c r="F826" s="12"/>
      <c r="G826" s="8">
        <f t="shared" si="12"/>
        <v>0</v>
      </c>
      <c r="H826" s="1"/>
    </row>
    <row r="827" spans="1:8" ht="15.75" customHeight="1">
      <c r="A827" s="6">
        <v>823</v>
      </c>
      <c r="B827" s="11" t="s">
        <v>777</v>
      </c>
      <c r="C827" s="11">
        <f xml:space="preserve">     36850</f>
        <v>36850</v>
      </c>
      <c r="D827" s="11"/>
      <c r="E827" s="17"/>
      <c r="F827" s="12"/>
      <c r="G827" s="8">
        <f t="shared" si="12"/>
        <v>0</v>
      </c>
      <c r="H827" s="1"/>
    </row>
    <row r="828" spans="1:8" ht="15.75" customHeight="1">
      <c r="A828" s="6">
        <v>824</v>
      </c>
      <c r="B828" s="11" t="s">
        <v>778</v>
      </c>
      <c r="C828" s="11">
        <f xml:space="preserve">     48350</f>
        <v>48350</v>
      </c>
      <c r="D828" s="11"/>
      <c r="E828" s="17"/>
      <c r="F828" s="12"/>
      <c r="G828" s="8">
        <f t="shared" si="12"/>
        <v>0</v>
      </c>
      <c r="H828" s="1"/>
    </row>
    <row r="829" spans="1:8" ht="15.75" customHeight="1">
      <c r="A829" s="6">
        <v>825</v>
      </c>
      <c r="B829" s="11" t="s">
        <v>779</v>
      </c>
      <c r="C829" s="11">
        <f xml:space="preserve">     40200</f>
        <v>40200</v>
      </c>
      <c r="D829" s="11"/>
      <c r="E829" s="17"/>
      <c r="F829" s="12"/>
      <c r="G829" s="8">
        <f t="shared" si="12"/>
        <v>0</v>
      </c>
      <c r="H829" s="1"/>
    </row>
    <row r="830" spans="1:8" ht="15.75" customHeight="1">
      <c r="A830" s="6">
        <v>826</v>
      </c>
      <c r="B830" s="11" t="s">
        <v>780</v>
      </c>
      <c r="C830" s="11">
        <f xml:space="preserve">     73600</f>
        <v>73600</v>
      </c>
      <c r="D830" s="11"/>
      <c r="E830" s="17"/>
      <c r="F830" s="12"/>
      <c r="G830" s="8">
        <f t="shared" si="12"/>
        <v>0</v>
      </c>
      <c r="H830" s="1"/>
    </row>
    <row r="831" spans="1:8" ht="15.75" customHeight="1">
      <c r="A831" s="6">
        <v>827</v>
      </c>
      <c r="B831" s="11" t="s">
        <v>781</v>
      </c>
      <c r="C831" s="11">
        <f xml:space="preserve">     24650</f>
        <v>24650</v>
      </c>
      <c r="D831" s="11"/>
      <c r="E831" s="17"/>
      <c r="F831" s="12"/>
      <c r="G831" s="8">
        <f t="shared" si="12"/>
        <v>0</v>
      </c>
      <c r="H831" s="1"/>
    </row>
    <row r="832" spans="1:8" ht="15.75" customHeight="1">
      <c r="A832" s="6">
        <v>828</v>
      </c>
      <c r="B832" s="11" t="s">
        <v>782</v>
      </c>
      <c r="C832" s="11">
        <f xml:space="preserve">     94650</f>
        <v>94650</v>
      </c>
      <c r="D832" s="11"/>
      <c r="E832" s="17"/>
      <c r="F832" s="12"/>
      <c r="G832" s="8">
        <f t="shared" si="12"/>
        <v>0</v>
      </c>
      <c r="H832" s="1"/>
    </row>
    <row r="833" spans="1:8" ht="15.75" customHeight="1">
      <c r="A833" s="6">
        <v>829</v>
      </c>
      <c r="B833" s="11" t="s">
        <v>783</v>
      </c>
      <c r="C833" s="11">
        <f xml:space="preserve">     46600</f>
        <v>46600</v>
      </c>
      <c r="D833" s="11"/>
      <c r="E833" s="17"/>
      <c r="F833" s="12"/>
      <c r="G833" s="8">
        <f t="shared" si="12"/>
        <v>0</v>
      </c>
      <c r="H833" s="1"/>
    </row>
    <row r="834" spans="1:8" ht="15.75" customHeight="1">
      <c r="A834" s="6">
        <v>830</v>
      </c>
      <c r="B834" s="11" t="s">
        <v>784</v>
      </c>
      <c r="C834" s="11">
        <f xml:space="preserve">     46900</f>
        <v>46900</v>
      </c>
      <c r="D834" s="11"/>
      <c r="E834" s="17"/>
      <c r="F834" s="12"/>
      <c r="G834" s="8">
        <f t="shared" si="12"/>
        <v>0</v>
      </c>
      <c r="H834" s="1"/>
    </row>
    <row r="835" spans="1:8" ht="15.75" customHeight="1">
      <c r="A835" s="6">
        <v>831</v>
      </c>
      <c r="B835" s="11" t="s">
        <v>785</v>
      </c>
      <c r="C835" s="11">
        <f xml:space="preserve">     36150</f>
        <v>36150</v>
      </c>
      <c r="D835" s="11"/>
      <c r="E835" s="17"/>
      <c r="F835" s="12"/>
      <c r="G835" s="8">
        <f t="shared" si="12"/>
        <v>0</v>
      </c>
      <c r="H835" s="1"/>
    </row>
    <row r="836" spans="1:8" ht="15.75" customHeight="1">
      <c r="A836" s="6">
        <v>832</v>
      </c>
      <c r="B836" s="11" t="s">
        <v>786</v>
      </c>
      <c r="C836" s="11">
        <f xml:space="preserve">    136800</f>
        <v>136800</v>
      </c>
      <c r="D836" s="11"/>
      <c r="E836" s="17"/>
      <c r="F836" s="12"/>
      <c r="G836" s="8">
        <f t="shared" si="12"/>
        <v>0</v>
      </c>
      <c r="H836" s="1"/>
    </row>
    <row r="837" spans="1:8" ht="15.75" customHeight="1">
      <c r="A837" s="6">
        <v>833</v>
      </c>
      <c r="B837" s="11" t="s">
        <v>787</v>
      </c>
      <c r="C837" s="11">
        <f xml:space="preserve">     59550</f>
        <v>59550</v>
      </c>
      <c r="D837" s="11"/>
      <c r="E837" s="17"/>
      <c r="F837" s="12"/>
      <c r="G837" s="8">
        <f t="shared" ref="G837:G900" si="13">C837*D837+E837*F837</f>
        <v>0</v>
      </c>
      <c r="H837" s="1"/>
    </row>
    <row r="838" spans="1:8" ht="15.75" customHeight="1">
      <c r="A838" s="6">
        <v>834</v>
      </c>
      <c r="B838" s="11" t="s">
        <v>788</v>
      </c>
      <c r="C838" s="11">
        <f xml:space="preserve">     93650</f>
        <v>93650</v>
      </c>
      <c r="D838" s="11"/>
      <c r="E838" s="17"/>
      <c r="F838" s="12"/>
      <c r="G838" s="8">
        <f t="shared" si="13"/>
        <v>0</v>
      </c>
      <c r="H838" s="1"/>
    </row>
    <row r="839" spans="1:8" ht="15.75" customHeight="1">
      <c r="A839" s="6">
        <v>835</v>
      </c>
      <c r="B839" s="11" t="s">
        <v>789</v>
      </c>
      <c r="C839" s="11">
        <f xml:space="preserve">      3300</f>
        <v>3300</v>
      </c>
      <c r="D839" s="11"/>
      <c r="E839" s="17"/>
      <c r="F839" s="12"/>
      <c r="G839" s="8">
        <f t="shared" si="13"/>
        <v>0</v>
      </c>
      <c r="H839" s="1"/>
    </row>
    <row r="840" spans="1:8" ht="15.75" customHeight="1">
      <c r="A840" s="6">
        <v>836</v>
      </c>
      <c r="B840" s="11" t="s">
        <v>790</v>
      </c>
      <c r="C840" s="11">
        <f xml:space="preserve">     12500</f>
        <v>12500</v>
      </c>
      <c r="D840" s="11"/>
      <c r="E840" s="17"/>
      <c r="F840" s="12"/>
      <c r="G840" s="8">
        <f t="shared" si="13"/>
        <v>0</v>
      </c>
      <c r="H840" s="1"/>
    </row>
    <row r="841" spans="1:8" ht="15.75" customHeight="1">
      <c r="A841" s="6">
        <v>837</v>
      </c>
      <c r="B841" s="11" t="s">
        <v>791</v>
      </c>
      <c r="C841" s="11">
        <f xml:space="preserve">     10150</f>
        <v>10150</v>
      </c>
      <c r="D841" s="11"/>
      <c r="E841" s="17"/>
      <c r="F841" s="12"/>
      <c r="G841" s="8">
        <f t="shared" si="13"/>
        <v>0</v>
      </c>
      <c r="H841" s="1"/>
    </row>
    <row r="842" spans="1:8" ht="15.75" customHeight="1">
      <c r="A842" s="6">
        <v>838</v>
      </c>
      <c r="B842" s="11" t="s">
        <v>792</v>
      </c>
      <c r="C842" s="11">
        <f xml:space="preserve">      5600</f>
        <v>5600</v>
      </c>
      <c r="D842" s="11"/>
      <c r="E842" s="17"/>
      <c r="F842" s="12"/>
      <c r="G842" s="8">
        <f t="shared" si="13"/>
        <v>0</v>
      </c>
      <c r="H842" s="1"/>
    </row>
    <row r="843" spans="1:8" ht="15.75" customHeight="1">
      <c r="A843" s="6">
        <v>839</v>
      </c>
      <c r="B843" s="11" t="s">
        <v>793</v>
      </c>
      <c r="C843" s="11">
        <f xml:space="preserve">      6950</f>
        <v>6950</v>
      </c>
      <c r="D843" s="11"/>
      <c r="E843" s="17"/>
      <c r="F843" s="12"/>
      <c r="G843" s="8">
        <f t="shared" si="13"/>
        <v>0</v>
      </c>
      <c r="H843" s="1"/>
    </row>
    <row r="844" spans="1:8" ht="15.75" customHeight="1">
      <c r="A844" s="6">
        <v>840</v>
      </c>
      <c r="B844" s="11" t="s">
        <v>794</v>
      </c>
      <c r="C844" s="11">
        <f xml:space="preserve">      5500</f>
        <v>5500</v>
      </c>
      <c r="D844" s="11"/>
      <c r="E844" s="17"/>
      <c r="F844" s="12"/>
      <c r="G844" s="8">
        <f t="shared" si="13"/>
        <v>0</v>
      </c>
      <c r="H844" s="1"/>
    </row>
    <row r="845" spans="1:8" ht="15.75" customHeight="1">
      <c r="A845" s="6">
        <v>841</v>
      </c>
      <c r="B845" s="11" t="s">
        <v>795</v>
      </c>
      <c r="C845" s="11">
        <f xml:space="preserve">      6600</f>
        <v>6600</v>
      </c>
      <c r="D845" s="11"/>
      <c r="E845" s="17"/>
      <c r="F845" s="12"/>
      <c r="G845" s="8">
        <f t="shared" si="13"/>
        <v>0</v>
      </c>
      <c r="H845" s="1"/>
    </row>
    <row r="846" spans="1:8" ht="15.75" customHeight="1">
      <c r="A846" s="6">
        <v>842</v>
      </c>
      <c r="B846" s="11" t="s">
        <v>796</v>
      </c>
      <c r="C846" s="11">
        <f xml:space="preserve">     11150</f>
        <v>11150</v>
      </c>
      <c r="D846" s="11"/>
      <c r="E846" s="17"/>
      <c r="F846" s="12"/>
      <c r="G846" s="8">
        <f t="shared" si="13"/>
        <v>0</v>
      </c>
      <c r="H846" s="1"/>
    </row>
    <row r="847" spans="1:8" ht="15.75" customHeight="1">
      <c r="A847" s="6">
        <v>843</v>
      </c>
      <c r="B847" s="11" t="s">
        <v>797</v>
      </c>
      <c r="C847" s="11">
        <f xml:space="preserve">    101600</f>
        <v>101600</v>
      </c>
      <c r="D847" s="11"/>
      <c r="E847" s="17"/>
      <c r="F847" s="12"/>
      <c r="G847" s="8">
        <f t="shared" si="13"/>
        <v>0</v>
      </c>
      <c r="H847" s="1"/>
    </row>
    <row r="848" spans="1:8" ht="15.75" customHeight="1">
      <c r="A848" s="6">
        <v>844</v>
      </c>
      <c r="B848" s="11" t="s">
        <v>798</v>
      </c>
      <c r="C848" s="11">
        <f xml:space="preserve">     37700</f>
        <v>37700</v>
      </c>
      <c r="D848" s="11"/>
      <c r="E848" s="17"/>
      <c r="F848" s="12"/>
      <c r="G848" s="8">
        <f t="shared" si="13"/>
        <v>0</v>
      </c>
      <c r="H848" s="1"/>
    </row>
    <row r="849" spans="1:8" ht="15.75" customHeight="1">
      <c r="A849" s="6">
        <v>845</v>
      </c>
      <c r="B849" s="11" t="s">
        <v>799</v>
      </c>
      <c r="C849" s="11">
        <f xml:space="preserve">     28250</f>
        <v>28250</v>
      </c>
      <c r="D849" s="11"/>
      <c r="E849" s="17"/>
      <c r="F849" s="12"/>
      <c r="G849" s="8">
        <f t="shared" si="13"/>
        <v>0</v>
      </c>
      <c r="H849" s="1"/>
    </row>
    <row r="850" spans="1:8" ht="15.75" customHeight="1">
      <c r="A850" s="6">
        <v>846</v>
      </c>
      <c r="B850" s="11" t="s">
        <v>800</v>
      </c>
      <c r="C850" s="11">
        <f xml:space="preserve">     14100</f>
        <v>14100</v>
      </c>
      <c r="D850" s="11"/>
      <c r="E850" s="17"/>
      <c r="F850" s="12"/>
      <c r="G850" s="8">
        <f t="shared" si="13"/>
        <v>0</v>
      </c>
      <c r="H850" s="1"/>
    </row>
    <row r="851" spans="1:8" ht="15.75" customHeight="1">
      <c r="A851" s="6">
        <v>847</v>
      </c>
      <c r="B851" s="11" t="s">
        <v>800</v>
      </c>
      <c r="C851" s="11">
        <f xml:space="preserve">     14150</f>
        <v>14150</v>
      </c>
      <c r="D851" s="11"/>
      <c r="E851" s="17"/>
      <c r="F851" s="12"/>
      <c r="G851" s="8">
        <f t="shared" si="13"/>
        <v>0</v>
      </c>
      <c r="H851" s="1"/>
    </row>
    <row r="852" spans="1:8" ht="15.75" customHeight="1">
      <c r="A852" s="6">
        <v>848</v>
      </c>
      <c r="B852" s="11" t="s">
        <v>2467</v>
      </c>
      <c r="C852" s="11">
        <f xml:space="preserve">     83950</f>
        <v>83950</v>
      </c>
      <c r="D852" s="11"/>
      <c r="E852" s="17"/>
      <c r="F852" s="12"/>
      <c r="G852" s="8">
        <f t="shared" si="13"/>
        <v>0</v>
      </c>
      <c r="H852" s="1"/>
    </row>
    <row r="853" spans="1:8" ht="15.75" customHeight="1">
      <c r="A853" s="6">
        <v>849</v>
      </c>
      <c r="B853" s="11" t="s">
        <v>801</v>
      </c>
      <c r="C853" s="11">
        <f xml:space="preserve">     16600</f>
        <v>16600</v>
      </c>
      <c r="D853" s="11"/>
      <c r="E853" s="17"/>
      <c r="F853" s="12"/>
      <c r="G853" s="8">
        <f t="shared" si="13"/>
        <v>0</v>
      </c>
      <c r="H853" s="1"/>
    </row>
    <row r="854" spans="1:8" ht="15.75" customHeight="1">
      <c r="A854" s="6">
        <v>850</v>
      </c>
      <c r="B854" s="11" t="s">
        <v>802</v>
      </c>
      <c r="C854" s="11">
        <f xml:space="preserve">      1300</f>
        <v>1300</v>
      </c>
      <c r="D854" s="11"/>
      <c r="E854" s="17"/>
      <c r="F854" s="12"/>
      <c r="G854" s="8">
        <f t="shared" si="13"/>
        <v>0</v>
      </c>
      <c r="H854" s="1"/>
    </row>
    <row r="855" spans="1:8" ht="15.75" customHeight="1">
      <c r="A855" s="6">
        <v>851</v>
      </c>
      <c r="B855" s="11" t="s">
        <v>803</v>
      </c>
      <c r="C855" s="11">
        <f xml:space="preserve">     21100</f>
        <v>21100</v>
      </c>
      <c r="D855" s="11"/>
      <c r="E855" s="17"/>
      <c r="F855" s="12"/>
      <c r="G855" s="8">
        <f t="shared" si="13"/>
        <v>0</v>
      </c>
      <c r="H855" s="1"/>
    </row>
    <row r="856" spans="1:8" ht="15.75" customHeight="1">
      <c r="A856" s="6">
        <v>852</v>
      </c>
      <c r="B856" s="11" t="s">
        <v>804</v>
      </c>
      <c r="C856" s="11">
        <f xml:space="preserve">     21900</f>
        <v>21900</v>
      </c>
      <c r="D856" s="11"/>
      <c r="E856" s="17"/>
      <c r="F856" s="12"/>
      <c r="G856" s="8">
        <f t="shared" si="13"/>
        <v>0</v>
      </c>
      <c r="H856" s="1"/>
    </row>
    <row r="857" spans="1:8" ht="15.75" customHeight="1">
      <c r="A857" s="6">
        <v>853</v>
      </c>
      <c r="B857" s="11" t="s">
        <v>805</v>
      </c>
      <c r="C857" s="11">
        <f xml:space="preserve">      3000</f>
        <v>3000</v>
      </c>
      <c r="D857" s="11"/>
      <c r="E857" s="17"/>
      <c r="F857" s="12"/>
      <c r="G857" s="8">
        <f t="shared" si="13"/>
        <v>0</v>
      </c>
      <c r="H857" s="1"/>
    </row>
    <row r="858" spans="1:8" ht="15.75" customHeight="1">
      <c r="A858" s="6">
        <v>854</v>
      </c>
      <c r="B858" s="11" t="s">
        <v>806</v>
      </c>
      <c r="C858" s="11">
        <f xml:space="preserve">      2100</f>
        <v>2100</v>
      </c>
      <c r="D858" s="11"/>
      <c r="E858" s="17"/>
      <c r="F858" s="12"/>
      <c r="G858" s="8">
        <f t="shared" si="13"/>
        <v>0</v>
      </c>
      <c r="H858" s="1"/>
    </row>
    <row r="859" spans="1:8" ht="15.75" customHeight="1">
      <c r="A859" s="6">
        <v>855</v>
      </c>
      <c r="B859" s="11" t="s">
        <v>807</v>
      </c>
      <c r="C859" s="11">
        <f xml:space="preserve">     46150</f>
        <v>46150</v>
      </c>
      <c r="D859" s="11"/>
      <c r="E859" s="17"/>
      <c r="F859" s="12"/>
      <c r="G859" s="8">
        <f t="shared" si="13"/>
        <v>0</v>
      </c>
      <c r="H859" s="1"/>
    </row>
    <row r="860" spans="1:8" ht="15.75" customHeight="1">
      <c r="A860" s="6">
        <v>856</v>
      </c>
      <c r="B860" s="11" t="s">
        <v>808</v>
      </c>
      <c r="C860" s="11">
        <f xml:space="preserve">    114450</f>
        <v>114450</v>
      </c>
      <c r="D860" s="11"/>
      <c r="E860" s="17"/>
      <c r="F860" s="12"/>
      <c r="G860" s="8">
        <f t="shared" si="13"/>
        <v>0</v>
      </c>
      <c r="H860" s="1"/>
    </row>
    <row r="861" spans="1:8" ht="15.75" customHeight="1">
      <c r="A861" s="6">
        <v>857</v>
      </c>
      <c r="B861" s="11" t="s">
        <v>809</v>
      </c>
      <c r="C861" s="11">
        <f xml:space="preserve">     91550</f>
        <v>91550</v>
      </c>
      <c r="D861" s="11"/>
      <c r="E861" s="17"/>
      <c r="F861" s="12"/>
      <c r="G861" s="8">
        <f t="shared" si="13"/>
        <v>0</v>
      </c>
      <c r="H861" s="1"/>
    </row>
    <row r="862" spans="1:8" ht="15.75" customHeight="1">
      <c r="A862" s="6">
        <v>858</v>
      </c>
      <c r="B862" s="11" t="s">
        <v>810</v>
      </c>
      <c r="C862" s="11">
        <f xml:space="preserve">     45350</f>
        <v>45350</v>
      </c>
      <c r="D862" s="11"/>
      <c r="E862" s="17"/>
      <c r="F862" s="12"/>
      <c r="G862" s="8">
        <f t="shared" si="13"/>
        <v>0</v>
      </c>
      <c r="H862" s="1"/>
    </row>
    <row r="863" spans="1:8" ht="15.75" customHeight="1">
      <c r="A863" s="6">
        <v>859</v>
      </c>
      <c r="B863" s="11" t="s">
        <v>811</v>
      </c>
      <c r="C863" s="11">
        <f xml:space="preserve">     37750</f>
        <v>37750</v>
      </c>
      <c r="D863" s="11"/>
      <c r="E863" s="17"/>
      <c r="F863" s="12"/>
      <c r="G863" s="8">
        <f t="shared" si="13"/>
        <v>0</v>
      </c>
      <c r="H863" s="1"/>
    </row>
    <row r="864" spans="1:8" ht="15.75" customHeight="1">
      <c r="A864" s="6">
        <v>860</v>
      </c>
      <c r="B864" s="11" t="s">
        <v>812</v>
      </c>
      <c r="C864" s="11">
        <f xml:space="preserve">     33250</f>
        <v>33250</v>
      </c>
      <c r="D864" s="11"/>
      <c r="E864" s="17"/>
      <c r="F864" s="12"/>
      <c r="G864" s="8">
        <f t="shared" si="13"/>
        <v>0</v>
      </c>
      <c r="H864" s="1"/>
    </row>
    <row r="865" spans="1:8" ht="15.75" customHeight="1">
      <c r="A865" s="6">
        <v>861</v>
      </c>
      <c r="B865" s="11" t="s">
        <v>813</v>
      </c>
      <c r="C865" s="11">
        <f xml:space="preserve">    169950</f>
        <v>169950</v>
      </c>
      <c r="D865" s="11"/>
      <c r="E865" s="17"/>
      <c r="F865" s="12"/>
      <c r="G865" s="8">
        <f t="shared" si="13"/>
        <v>0</v>
      </c>
      <c r="H865" s="1"/>
    </row>
    <row r="866" spans="1:8" ht="15.75" customHeight="1">
      <c r="A866" s="6">
        <v>862</v>
      </c>
      <c r="B866" s="11" t="s">
        <v>814</v>
      </c>
      <c r="C866" s="11">
        <f xml:space="preserve">     21650</f>
        <v>21650</v>
      </c>
      <c r="D866" s="11"/>
      <c r="E866" s="17"/>
      <c r="F866" s="12"/>
      <c r="G866" s="8">
        <f t="shared" si="13"/>
        <v>0</v>
      </c>
      <c r="H866" s="1"/>
    </row>
    <row r="867" spans="1:8" ht="15.75" customHeight="1">
      <c r="A867" s="6">
        <v>863</v>
      </c>
      <c r="B867" s="11" t="s">
        <v>815</v>
      </c>
      <c r="C867" s="11">
        <f xml:space="preserve">     38300</f>
        <v>38300</v>
      </c>
      <c r="D867" s="11"/>
      <c r="E867" s="17"/>
      <c r="F867" s="12"/>
      <c r="G867" s="8">
        <f t="shared" si="13"/>
        <v>0</v>
      </c>
      <c r="H867" s="1"/>
    </row>
    <row r="868" spans="1:8" ht="15.75" customHeight="1">
      <c r="A868" s="6">
        <v>864</v>
      </c>
      <c r="B868" s="11" t="s">
        <v>816</v>
      </c>
      <c r="C868" s="11">
        <f xml:space="preserve">     26200</f>
        <v>26200</v>
      </c>
      <c r="D868" s="11"/>
      <c r="E868" s="17"/>
      <c r="F868" s="12"/>
      <c r="G868" s="8">
        <f t="shared" si="13"/>
        <v>0</v>
      </c>
      <c r="H868" s="1"/>
    </row>
    <row r="869" spans="1:8" ht="15.75" customHeight="1">
      <c r="A869" s="6">
        <v>865</v>
      </c>
      <c r="B869" s="11" t="s">
        <v>817</v>
      </c>
      <c r="C869" s="11">
        <f xml:space="preserve">     36900</f>
        <v>36900</v>
      </c>
      <c r="D869" s="11"/>
      <c r="E869" s="17"/>
      <c r="F869" s="12"/>
      <c r="G869" s="8">
        <f t="shared" si="13"/>
        <v>0</v>
      </c>
      <c r="H869" s="1"/>
    </row>
    <row r="870" spans="1:8" ht="15.75" customHeight="1">
      <c r="A870" s="6">
        <v>866</v>
      </c>
      <c r="B870" s="11" t="s">
        <v>818</v>
      </c>
      <c r="C870" s="11">
        <f xml:space="preserve">     45250</f>
        <v>45250</v>
      </c>
      <c r="D870" s="11"/>
      <c r="E870" s="17"/>
      <c r="F870" s="12"/>
      <c r="G870" s="8">
        <f t="shared" si="13"/>
        <v>0</v>
      </c>
      <c r="H870" s="1"/>
    </row>
    <row r="871" spans="1:8" ht="15.75" customHeight="1">
      <c r="A871" s="6">
        <v>867</v>
      </c>
      <c r="B871" s="11" t="s">
        <v>819</v>
      </c>
      <c r="C871" s="11">
        <f xml:space="preserve">     34200</f>
        <v>34200</v>
      </c>
      <c r="D871" s="11"/>
      <c r="E871" s="17"/>
      <c r="F871" s="12"/>
      <c r="G871" s="8">
        <f t="shared" si="13"/>
        <v>0</v>
      </c>
      <c r="H871" s="1"/>
    </row>
    <row r="872" spans="1:8" ht="15.75" customHeight="1">
      <c r="A872" s="6">
        <v>868</v>
      </c>
      <c r="B872" s="11" t="s">
        <v>820</v>
      </c>
      <c r="C872" s="11">
        <f xml:space="preserve">     25350</f>
        <v>25350</v>
      </c>
      <c r="D872" s="11"/>
      <c r="E872" s="17"/>
      <c r="F872" s="12"/>
      <c r="G872" s="8">
        <f t="shared" si="13"/>
        <v>0</v>
      </c>
      <c r="H872" s="1"/>
    </row>
    <row r="873" spans="1:8" ht="15.75" customHeight="1">
      <c r="A873" s="6">
        <v>869</v>
      </c>
      <c r="B873" s="11" t="s">
        <v>821</v>
      </c>
      <c r="C873" s="11">
        <f xml:space="preserve">     10350</f>
        <v>10350</v>
      </c>
      <c r="D873" s="11"/>
      <c r="E873" s="17"/>
      <c r="F873" s="12"/>
      <c r="G873" s="8">
        <f t="shared" si="13"/>
        <v>0</v>
      </c>
      <c r="H873" s="1"/>
    </row>
    <row r="874" spans="1:8" ht="15.75" customHeight="1">
      <c r="A874" s="6">
        <v>870</v>
      </c>
      <c r="B874" s="11" t="s">
        <v>822</v>
      </c>
      <c r="C874" s="11">
        <f xml:space="preserve">     43700</f>
        <v>43700</v>
      </c>
      <c r="D874" s="11"/>
      <c r="E874" s="17"/>
      <c r="F874" s="12"/>
      <c r="G874" s="8">
        <f t="shared" si="13"/>
        <v>0</v>
      </c>
      <c r="H874" s="1"/>
    </row>
    <row r="875" spans="1:8" ht="15.75" customHeight="1">
      <c r="A875" s="6">
        <v>871</v>
      </c>
      <c r="B875" s="11" t="s">
        <v>823</v>
      </c>
      <c r="C875" s="11">
        <f xml:space="preserve">    101500</f>
        <v>101500</v>
      </c>
      <c r="D875" s="11"/>
      <c r="E875" s="17"/>
      <c r="F875" s="12"/>
      <c r="G875" s="8">
        <f t="shared" si="13"/>
        <v>0</v>
      </c>
      <c r="H875" s="1"/>
    </row>
    <row r="876" spans="1:8" ht="15.75" customHeight="1">
      <c r="A876" s="6">
        <v>872</v>
      </c>
      <c r="B876" s="11" t="s">
        <v>824</v>
      </c>
      <c r="C876" s="11">
        <f xml:space="preserve">     52650</f>
        <v>52650</v>
      </c>
      <c r="D876" s="11"/>
      <c r="E876" s="17"/>
      <c r="F876" s="12"/>
      <c r="G876" s="8">
        <f t="shared" si="13"/>
        <v>0</v>
      </c>
      <c r="H876" s="1"/>
    </row>
    <row r="877" spans="1:8" ht="15.75" customHeight="1">
      <c r="A877" s="6">
        <v>873</v>
      </c>
      <c r="B877" s="11" t="s">
        <v>825</v>
      </c>
      <c r="C877" s="11">
        <f xml:space="preserve">     40000</f>
        <v>40000</v>
      </c>
      <c r="D877" s="11"/>
      <c r="E877" s="17"/>
      <c r="F877" s="12"/>
      <c r="G877" s="8">
        <f t="shared" si="13"/>
        <v>0</v>
      </c>
      <c r="H877" s="1"/>
    </row>
    <row r="878" spans="1:8" ht="15.75" customHeight="1">
      <c r="A878" s="6">
        <v>874</v>
      </c>
      <c r="B878" s="11" t="s">
        <v>826</v>
      </c>
      <c r="C878" s="11">
        <f xml:space="preserve">     59600</f>
        <v>59600</v>
      </c>
      <c r="D878" s="11"/>
      <c r="E878" s="17"/>
      <c r="F878" s="12"/>
      <c r="G878" s="8">
        <f t="shared" si="13"/>
        <v>0</v>
      </c>
      <c r="H878" s="1"/>
    </row>
    <row r="879" spans="1:8" ht="15.75" customHeight="1">
      <c r="A879" s="6">
        <v>875</v>
      </c>
      <c r="B879" s="11" t="s">
        <v>827</v>
      </c>
      <c r="C879" s="11">
        <f xml:space="preserve">     23800</f>
        <v>23800</v>
      </c>
      <c r="D879" s="11"/>
      <c r="E879" s="17"/>
      <c r="F879" s="12"/>
      <c r="G879" s="8">
        <f t="shared" si="13"/>
        <v>0</v>
      </c>
      <c r="H879" s="1"/>
    </row>
    <row r="880" spans="1:8" ht="15.75" customHeight="1">
      <c r="A880" s="6">
        <v>876</v>
      </c>
      <c r="B880" s="11" t="s">
        <v>828</v>
      </c>
      <c r="C880" s="11">
        <f xml:space="preserve">     11550</f>
        <v>11550</v>
      </c>
      <c r="D880" s="11"/>
      <c r="E880" s="17"/>
      <c r="F880" s="12"/>
      <c r="G880" s="8">
        <f t="shared" si="13"/>
        <v>0</v>
      </c>
      <c r="H880" s="1"/>
    </row>
    <row r="881" spans="1:8" ht="15.75" customHeight="1">
      <c r="A881" s="6">
        <v>877</v>
      </c>
      <c r="B881" s="11" t="s">
        <v>829</v>
      </c>
      <c r="C881" s="11">
        <f xml:space="preserve">      3200</f>
        <v>3200</v>
      </c>
      <c r="D881" s="11"/>
      <c r="E881" s="17"/>
      <c r="F881" s="12"/>
      <c r="G881" s="8">
        <f t="shared" si="13"/>
        <v>0</v>
      </c>
      <c r="H881" s="1"/>
    </row>
    <row r="882" spans="1:8" ht="15.75" customHeight="1">
      <c r="A882" s="6">
        <v>878</v>
      </c>
      <c r="B882" s="11" t="s">
        <v>830</v>
      </c>
      <c r="C882" s="11">
        <f xml:space="preserve">    210200</f>
        <v>210200</v>
      </c>
      <c r="D882" s="11"/>
      <c r="E882" s="17"/>
      <c r="F882" s="12"/>
      <c r="G882" s="8">
        <f t="shared" si="13"/>
        <v>0</v>
      </c>
      <c r="H882" s="1"/>
    </row>
    <row r="883" spans="1:8" ht="15.75" customHeight="1">
      <c r="A883" s="6">
        <v>879</v>
      </c>
      <c r="B883" s="11" t="s">
        <v>831</v>
      </c>
      <c r="C883" s="11">
        <f xml:space="preserve">     31400</f>
        <v>31400</v>
      </c>
      <c r="D883" s="11"/>
      <c r="E883" s="17"/>
      <c r="F883" s="12"/>
      <c r="G883" s="8">
        <f t="shared" si="13"/>
        <v>0</v>
      </c>
      <c r="H883" s="1"/>
    </row>
    <row r="884" spans="1:8" ht="15.75" customHeight="1">
      <c r="A884" s="6">
        <v>880</v>
      </c>
      <c r="B884" s="11" t="s">
        <v>832</v>
      </c>
      <c r="C884" s="11">
        <f xml:space="preserve">     32100</f>
        <v>32100</v>
      </c>
      <c r="D884" s="11"/>
      <c r="E884" s="17"/>
      <c r="F884" s="12"/>
      <c r="G884" s="8">
        <f t="shared" si="13"/>
        <v>0</v>
      </c>
      <c r="H884" s="1"/>
    </row>
    <row r="885" spans="1:8" ht="15.75" customHeight="1">
      <c r="A885" s="6">
        <v>881</v>
      </c>
      <c r="B885" s="11" t="s">
        <v>833</v>
      </c>
      <c r="C885" s="11">
        <f xml:space="preserve">     41500</f>
        <v>41500</v>
      </c>
      <c r="D885" s="11"/>
      <c r="E885" s="17"/>
      <c r="F885" s="12"/>
      <c r="G885" s="8">
        <f t="shared" si="13"/>
        <v>0</v>
      </c>
      <c r="H885" s="1"/>
    </row>
    <row r="886" spans="1:8" ht="15.75" customHeight="1">
      <c r="A886" s="6">
        <v>882</v>
      </c>
      <c r="B886" s="11" t="s">
        <v>833</v>
      </c>
      <c r="C886" s="11">
        <f xml:space="preserve">     41500</f>
        <v>41500</v>
      </c>
      <c r="D886" s="11"/>
      <c r="E886" s="17"/>
      <c r="F886" s="12"/>
      <c r="G886" s="8">
        <f t="shared" si="13"/>
        <v>0</v>
      </c>
      <c r="H886" s="1"/>
    </row>
    <row r="887" spans="1:8" ht="15.75" customHeight="1">
      <c r="A887" s="6">
        <v>883</v>
      </c>
      <c r="B887" s="11" t="s">
        <v>834</v>
      </c>
      <c r="C887" s="11">
        <f xml:space="preserve">     65600</f>
        <v>65600</v>
      </c>
      <c r="D887" s="11"/>
      <c r="E887" s="17"/>
      <c r="F887" s="12"/>
      <c r="G887" s="8">
        <f t="shared" si="13"/>
        <v>0</v>
      </c>
      <c r="H887" s="1"/>
    </row>
    <row r="888" spans="1:8" ht="15.75" customHeight="1">
      <c r="A888" s="6">
        <v>884</v>
      </c>
      <c r="B888" s="11" t="s">
        <v>835</v>
      </c>
      <c r="C888" s="11">
        <f xml:space="preserve">     25100</f>
        <v>25100</v>
      </c>
      <c r="D888" s="11"/>
      <c r="E888" s="17"/>
      <c r="F888" s="12"/>
      <c r="G888" s="8">
        <f t="shared" si="13"/>
        <v>0</v>
      </c>
      <c r="H888" s="1"/>
    </row>
    <row r="889" spans="1:8" ht="15.75" customHeight="1">
      <c r="A889" s="6">
        <v>885</v>
      </c>
      <c r="B889" s="11" t="s">
        <v>836</v>
      </c>
      <c r="C889" s="11">
        <f xml:space="preserve">     21250</f>
        <v>21250</v>
      </c>
      <c r="D889" s="11"/>
      <c r="E889" s="17"/>
      <c r="F889" s="12"/>
      <c r="G889" s="8">
        <f t="shared" si="13"/>
        <v>0</v>
      </c>
      <c r="H889" s="1"/>
    </row>
    <row r="890" spans="1:8" ht="15.75" customHeight="1">
      <c r="A890" s="6">
        <v>886</v>
      </c>
      <c r="B890" s="11" t="s">
        <v>837</v>
      </c>
      <c r="C890" s="11">
        <f xml:space="preserve">     14400</f>
        <v>14400</v>
      </c>
      <c r="D890" s="11"/>
      <c r="E890" s="17"/>
      <c r="F890" s="12"/>
      <c r="G890" s="8">
        <f t="shared" si="13"/>
        <v>0</v>
      </c>
      <c r="H890" s="1"/>
    </row>
    <row r="891" spans="1:8" ht="15.75" customHeight="1">
      <c r="A891" s="6">
        <v>887</v>
      </c>
      <c r="B891" s="11" t="s">
        <v>837</v>
      </c>
      <c r="C891" s="11">
        <f xml:space="preserve">     14400</f>
        <v>14400</v>
      </c>
      <c r="D891" s="11"/>
      <c r="E891" s="17"/>
      <c r="F891" s="12"/>
      <c r="G891" s="8">
        <f t="shared" si="13"/>
        <v>0</v>
      </c>
      <c r="H891" s="1"/>
    </row>
    <row r="892" spans="1:8" ht="15.75" customHeight="1">
      <c r="A892" s="6">
        <v>888</v>
      </c>
      <c r="B892" s="11" t="s">
        <v>838</v>
      </c>
      <c r="C892" s="11">
        <f xml:space="preserve">      5100</f>
        <v>5100</v>
      </c>
      <c r="D892" s="11"/>
      <c r="E892" s="17"/>
      <c r="F892" s="12"/>
      <c r="G892" s="8">
        <f t="shared" si="13"/>
        <v>0</v>
      </c>
      <c r="H892" s="1"/>
    </row>
    <row r="893" spans="1:8" ht="15.75" customHeight="1">
      <c r="A893" s="6">
        <v>889</v>
      </c>
      <c r="B893" s="11" t="s">
        <v>839</v>
      </c>
      <c r="C893" s="11">
        <f xml:space="preserve">      4150</f>
        <v>4150</v>
      </c>
      <c r="D893" s="11"/>
      <c r="E893" s="17"/>
      <c r="F893" s="12"/>
      <c r="G893" s="8">
        <f t="shared" si="13"/>
        <v>0</v>
      </c>
      <c r="H893" s="1"/>
    </row>
    <row r="894" spans="1:8" ht="15.75" customHeight="1">
      <c r="A894" s="6">
        <v>890</v>
      </c>
      <c r="B894" s="11" t="s">
        <v>840</v>
      </c>
      <c r="C894" s="11">
        <f xml:space="preserve">     23200</f>
        <v>23200</v>
      </c>
      <c r="D894" s="11"/>
      <c r="E894" s="17"/>
      <c r="F894" s="12"/>
      <c r="G894" s="8">
        <f t="shared" si="13"/>
        <v>0</v>
      </c>
      <c r="H894" s="1"/>
    </row>
    <row r="895" spans="1:8" ht="15.75" customHeight="1">
      <c r="A895" s="6">
        <v>891</v>
      </c>
      <c r="B895" s="11" t="s">
        <v>841</v>
      </c>
      <c r="C895" s="11">
        <f xml:space="preserve">     72000</f>
        <v>72000</v>
      </c>
      <c r="D895" s="11"/>
      <c r="E895" s="17"/>
      <c r="F895" s="12"/>
      <c r="G895" s="8">
        <f t="shared" si="13"/>
        <v>0</v>
      </c>
      <c r="H895" s="1"/>
    </row>
    <row r="896" spans="1:8" ht="15.75" customHeight="1">
      <c r="A896" s="6">
        <v>892</v>
      </c>
      <c r="B896" s="11" t="s">
        <v>842</v>
      </c>
      <c r="C896" s="11">
        <f xml:space="preserve">     74750</f>
        <v>74750</v>
      </c>
      <c r="D896" s="11"/>
      <c r="E896" s="17"/>
      <c r="F896" s="12"/>
      <c r="G896" s="8">
        <f t="shared" si="13"/>
        <v>0</v>
      </c>
      <c r="H896" s="1"/>
    </row>
    <row r="897" spans="1:8" ht="15.75" customHeight="1">
      <c r="A897" s="6">
        <v>893</v>
      </c>
      <c r="B897" s="11" t="s">
        <v>843</v>
      </c>
      <c r="C897" s="11">
        <f xml:space="preserve">     25300</f>
        <v>25300</v>
      </c>
      <c r="D897" s="11"/>
      <c r="E897" s="17"/>
      <c r="F897" s="12"/>
      <c r="G897" s="8">
        <f t="shared" si="13"/>
        <v>0</v>
      </c>
      <c r="H897" s="1"/>
    </row>
    <row r="898" spans="1:8" ht="15.75" customHeight="1">
      <c r="A898" s="6">
        <v>894</v>
      </c>
      <c r="B898" s="11" t="s">
        <v>844</v>
      </c>
      <c r="C898" s="11">
        <f xml:space="preserve">     50800</f>
        <v>50800</v>
      </c>
      <c r="D898" s="11"/>
      <c r="E898" s="17"/>
      <c r="F898" s="12"/>
      <c r="G898" s="8">
        <f t="shared" si="13"/>
        <v>0</v>
      </c>
      <c r="H898" s="1"/>
    </row>
    <row r="899" spans="1:8" ht="15.75" customHeight="1">
      <c r="A899" s="6">
        <v>895</v>
      </c>
      <c r="B899" s="11" t="s">
        <v>845</v>
      </c>
      <c r="C899" s="11">
        <f xml:space="preserve">     12150</f>
        <v>12150</v>
      </c>
      <c r="D899" s="11"/>
      <c r="E899" s="17"/>
      <c r="F899" s="12"/>
      <c r="G899" s="8">
        <f t="shared" si="13"/>
        <v>0</v>
      </c>
      <c r="H899" s="1"/>
    </row>
    <row r="900" spans="1:8" ht="15.75" customHeight="1">
      <c r="A900" s="6">
        <v>896</v>
      </c>
      <c r="B900" s="11" t="s">
        <v>846</v>
      </c>
      <c r="C900" s="11">
        <f xml:space="preserve">      2750</f>
        <v>2750</v>
      </c>
      <c r="D900" s="11"/>
      <c r="E900" s="17"/>
      <c r="F900" s="12"/>
      <c r="G900" s="8">
        <f t="shared" si="13"/>
        <v>0</v>
      </c>
      <c r="H900" s="1"/>
    </row>
    <row r="901" spans="1:8" ht="15.75" customHeight="1">
      <c r="A901" s="6">
        <v>897</v>
      </c>
      <c r="B901" s="11" t="s">
        <v>847</v>
      </c>
      <c r="C901" s="11">
        <f xml:space="preserve">     39900</f>
        <v>39900</v>
      </c>
      <c r="D901" s="11"/>
      <c r="E901" s="17"/>
      <c r="F901" s="12"/>
      <c r="G901" s="8">
        <f t="shared" ref="G901:G964" si="14">C901*D901+E901*F901</f>
        <v>0</v>
      </c>
      <c r="H901" s="1"/>
    </row>
    <row r="902" spans="1:8" ht="15.75" customHeight="1">
      <c r="A902" s="6">
        <v>898</v>
      </c>
      <c r="B902" s="11" t="s">
        <v>848</v>
      </c>
      <c r="C902" s="11">
        <f xml:space="preserve">     42300</f>
        <v>42300</v>
      </c>
      <c r="D902" s="11"/>
      <c r="E902" s="17"/>
      <c r="F902" s="12"/>
      <c r="G902" s="8">
        <f t="shared" si="14"/>
        <v>0</v>
      </c>
      <c r="H902" s="1"/>
    </row>
    <row r="903" spans="1:8" ht="15.75" customHeight="1">
      <c r="A903" s="6">
        <v>899</v>
      </c>
      <c r="B903" s="11" t="s">
        <v>849</v>
      </c>
      <c r="C903" s="11">
        <f xml:space="preserve">     67350</f>
        <v>67350</v>
      </c>
      <c r="D903" s="11"/>
      <c r="E903" s="17"/>
      <c r="F903" s="12"/>
      <c r="G903" s="8">
        <f t="shared" si="14"/>
        <v>0</v>
      </c>
      <c r="H903" s="1"/>
    </row>
    <row r="904" spans="1:8" ht="15.75" customHeight="1">
      <c r="A904" s="6">
        <v>900</v>
      </c>
      <c r="B904" s="11" t="s">
        <v>850</v>
      </c>
      <c r="C904" s="11">
        <f xml:space="preserve">     72500</f>
        <v>72500</v>
      </c>
      <c r="D904" s="11"/>
      <c r="E904" s="17"/>
      <c r="F904" s="12"/>
      <c r="G904" s="8">
        <f t="shared" si="14"/>
        <v>0</v>
      </c>
      <c r="H904" s="1"/>
    </row>
    <row r="905" spans="1:8" ht="15.75" customHeight="1">
      <c r="A905" s="6">
        <v>901</v>
      </c>
      <c r="B905" s="11" t="s">
        <v>851</v>
      </c>
      <c r="C905" s="11">
        <f xml:space="preserve">     87450</f>
        <v>87450</v>
      </c>
      <c r="D905" s="11"/>
      <c r="E905" s="17"/>
      <c r="F905" s="12"/>
      <c r="G905" s="8">
        <f t="shared" si="14"/>
        <v>0</v>
      </c>
      <c r="H905" s="1"/>
    </row>
    <row r="906" spans="1:8" ht="15.75" customHeight="1">
      <c r="A906" s="6">
        <v>902</v>
      </c>
      <c r="B906" s="11" t="s">
        <v>852</v>
      </c>
      <c r="C906" s="11">
        <f xml:space="preserve">     82400</f>
        <v>82400</v>
      </c>
      <c r="D906" s="11"/>
      <c r="E906" s="17"/>
      <c r="F906" s="12"/>
      <c r="G906" s="8">
        <f t="shared" si="14"/>
        <v>0</v>
      </c>
      <c r="H906" s="1"/>
    </row>
    <row r="907" spans="1:8" ht="15.75" customHeight="1">
      <c r="A907" s="6">
        <v>903</v>
      </c>
      <c r="B907" s="11" t="s">
        <v>853</v>
      </c>
      <c r="C907" s="11">
        <f xml:space="preserve">     84900</f>
        <v>84900</v>
      </c>
      <c r="D907" s="11"/>
      <c r="E907" s="17"/>
      <c r="F907" s="12"/>
      <c r="G907" s="8">
        <f t="shared" si="14"/>
        <v>0</v>
      </c>
      <c r="H907" s="1"/>
    </row>
    <row r="908" spans="1:8" ht="15.75" customHeight="1">
      <c r="A908" s="6">
        <v>904</v>
      </c>
      <c r="B908" s="11" t="s">
        <v>854</v>
      </c>
      <c r="C908" s="11">
        <f xml:space="preserve">     13100</f>
        <v>13100</v>
      </c>
      <c r="D908" s="11"/>
      <c r="E908" s="17"/>
      <c r="F908" s="12"/>
      <c r="G908" s="8">
        <f t="shared" si="14"/>
        <v>0</v>
      </c>
      <c r="H908" s="1"/>
    </row>
    <row r="909" spans="1:8" ht="15.75" customHeight="1">
      <c r="A909" s="6">
        <v>905</v>
      </c>
      <c r="B909" s="11" t="s">
        <v>854</v>
      </c>
      <c r="C909" s="11">
        <f xml:space="preserve">     13100</f>
        <v>13100</v>
      </c>
      <c r="D909" s="11"/>
      <c r="E909" s="17"/>
      <c r="F909" s="12"/>
      <c r="G909" s="8">
        <f t="shared" si="14"/>
        <v>0</v>
      </c>
      <c r="H909" s="1"/>
    </row>
    <row r="910" spans="1:8" ht="15.75" customHeight="1">
      <c r="A910" s="6">
        <v>906</v>
      </c>
      <c r="B910" s="11" t="s">
        <v>855</v>
      </c>
      <c r="C910" s="11">
        <f xml:space="preserve">      9950</f>
        <v>9950</v>
      </c>
      <c r="D910" s="11"/>
      <c r="E910" s="17"/>
      <c r="F910" s="12"/>
      <c r="G910" s="8">
        <f t="shared" si="14"/>
        <v>0</v>
      </c>
      <c r="H910" s="1"/>
    </row>
    <row r="911" spans="1:8" ht="15.75" customHeight="1">
      <c r="A911" s="6">
        <v>907</v>
      </c>
      <c r="B911" s="11" t="s">
        <v>855</v>
      </c>
      <c r="C911" s="11">
        <f xml:space="preserve">      9900</f>
        <v>9900</v>
      </c>
      <c r="D911" s="11"/>
      <c r="E911" s="17"/>
      <c r="F911" s="12"/>
      <c r="G911" s="8">
        <f t="shared" si="14"/>
        <v>0</v>
      </c>
      <c r="H911" s="1"/>
    </row>
    <row r="912" spans="1:8" ht="15.75" customHeight="1">
      <c r="A912" s="6">
        <v>908</v>
      </c>
      <c r="B912" s="11" t="s">
        <v>856</v>
      </c>
      <c r="C912" s="11">
        <f xml:space="preserve">     11000</f>
        <v>11000</v>
      </c>
      <c r="D912" s="11"/>
      <c r="E912" s="17"/>
      <c r="F912" s="12"/>
      <c r="G912" s="8">
        <f t="shared" si="14"/>
        <v>0</v>
      </c>
      <c r="H912" s="1"/>
    </row>
    <row r="913" spans="1:8" ht="15.75" customHeight="1">
      <c r="A913" s="6">
        <v>909</v>
      </c>
      <c r="B913" s="11" t="s">
        <v>857</v>
      </c>
      <c r="C913" s="11">
        <f xml:space="preserve">     30400</f>
        <v>30400</v>
      </c>
      <c r="D913" s="11"/>
      <c r="E913" s="17"/>
      <c r="F913" s="12"/>
      <c r="G913" s="8">
        <f t="shared" si="14"/>
        <v>0</v>
      </c>
      <c r="H913" s="1"/>
    </row>
    <row r="914" spans="1:8" ht="15.75" customHeight="1">
      <c r="A914" s="6">
        <v>910</v>
      </c>
      <c r="B914" s="11" t="s">
        <v>858</v>
      </c>
      <c r="C914" s="11">
        <f xml:space="preserve">      5150</f>
        <v>5150</v>
      </c>
      <c r="D914" s="11"/>
      <c r="E914" s="17"/>
      <c r="F914" s="12"/>
      <c r="G914" s="8">
        <f t="shared" si="14"/>
        <v>0</v>
      </c>
      <c r="H914" s="1"/>
    </row>
    <row r="915" spans="1:8" ht="15.75" customHeight="1">
      <c r="A915" s="6">
        <v>911</v>
      </c>
      <c r="B915" s="11" t="s">
        <v>859</v>
      </c>
      <c r="C915" s="11">
        <f xml:space="preserve">     11600</f>
        <v>11600</v>
      </c>
      <c r="D915" s="11"/>
      <c r="E915" s="17"/>
      <c r="F915" s="12"/>
      <c r="G915" s="8">
        <f t="shared" si="14"/>
        <v>0</v>
      </c>
      <c r="H915" s="1"/>
    </row>
    <row r="916" spans="1:8" ht="15.75" customHeight="1">
      <c r="A916" s="6">
        <v>912</v>
      </c>
      <c r="B916" s="11" t="s">
        <v>860</v>
      </c>
      <c r="C916" s="11">
        <f xml:space="preserve">     11600</f>
        <v>11600</v>
      </c>
      <c r="D916" s="11"/>
      <c r="E916" s="17"/>
      <c r="F916" s="12"/>
      <c r="G916" s="8">
        <f t="shared" si="14"/>
        <v>0</v>
      </c>
      <c r="H916" s="1"/>
    </row>
    <row r="917" spans="1:8" ht="15.75" customHeight="1">
      <c r="A917" s="6">
        <v>913</v>
      </c>
      <c r="B917" s="11" t="s">
        <v>861</v>
      </c>
      <c r="C917" s="11">
        <f xml:space="preserve">      4450</f>
        <v>4450</v>
      </c>
      <c r="D917" s="11"/>
      <c r="E917" s="17"/>
      <c r="F917" s="12"/>
      <c r="G917" s="8">
        <f t="shared" si="14"/>
        <v>0</v>
      </c>
      <c r="H917" s="1"/>
    </row>
    <row r="918" spans="1:8" ht="15.75" customHeight="1">
      <c r="A918" s="6">
        <v>914</v>
      </c>
      <c r="B918" s="11" t="s">
        <v>862</v>
      </c>
      <c r="C918" s="11">
        <f xml:space="preserve">      9100</f>
        <v>9100</v>
      </c>
      <c r="D918" s="11"/>
      <c r="E918" s="17"/>
      <c r="F918" s="12"/>
      <c r="G918" s="8">
        <f t="shared" si="14"/>
        <v>0</v>
      </c>
      <c r="H918" s="1"/>
    </row>
    <row r="919" spans="1:8" ht="15.75" customHeight="1">
      <c r="A919" s="6">
        <v>915</v>
      </c>
      <c r="B919" s="11" t="s">
        <v>863</v>
      </c>
      <c r="C919" s="11">
        <f xml:space="preserve">     11600</f>
        <v>11600</v>
      </c>
      <c r="D919" s="11"/>
      <c r="E919" s="17"/>
      <c r="F919" s="12"/>
      <c r="G919" s="8">
        <f t="shared" si="14"/>
        <v>0</v>
      </c>
      <c r="H919" s="1"/>
    </row>
    <row r="920" spans="1:8" ht="15.75" customHeight="1">
      <c r="A920" s="6">
        <v>916</v>
      </c>
      <c r="B920" s="11" t="s">
        <v>864</v>
      </c>
      <c r="C920" s="11">
        <f xml:space="preserve">     34900</f>
        <v>34900</v>
      </c>
      <c r="D920" s="11"/>
      <c r="E920" s="17"/>
      <c r="F920" s="12"/>
      <c r="G920" s="8">
        <f t="shared" si="14"/>
        <v>0</v>
      </c>
      <c r="H920" s="1"/>
    </row>
    <row r="921" spans="1:8" ht="15.75" customHeight="1">
      <c r="A921" s="6">
        <v>917</v>
      </c>
      <c r="B921" s="11" t="s">
        <v>865</v>
      </c>
      <c r="C921" s="11">
        <f xml:space="preserve">     18000</f>
        <v>18000</v>
      </c>
      <c r="D921" s="11"/>
      <c r="E921" s="17"/>
      <c r="F921" s="12"/>
      <c r="G921" s="8">
        <f t="shared" si="14"/>
        <v>0</v>
      </c>
      <c r="H921" s="1"/>
    </row>
    <row r="922" spans="1:8" ht="15.75" customHeight="1">
      <c r="A922" s="6">
        <v>918</v>
      </c>
      <c r="B922" s="11" t="s">
        <v>866</v>
      </c>
      <c r="C922" s="11">
        <f xml:space="preserve">     18000</f>
        <v>18000</v>
      </c>
      <c r="D922" s="11"/>
      <c r="E922" s="17"/>
      <c r="F922" s="12"/>
      <c r="G922" s="8">
        <f t="shared" si="14"/>
        <v>0</v>
      </c>
      <c r="H922" s="1"/>
    </row>
    <row r="923" spans="1:8" ht="15.75" customHeight="1">
      <c r="A923" s="6">
        <v>919</v>
      </c>
      <c r="B923" s="11" t="s">
        <v>867</v>
      </c>
      <c r="C923" s="11">
        <f xml:space="preserve">     64700</f>
        <v>64700</v>
      </c>
      <c r="D923" s="11"/>
      <c r="E923" s="17"/>
      <c r="F923" s="12"/>
      <c r="G923" s="8">
        <f t="shared" si="14"/>
        <v>0</v>
      </c>
      <c r="H923" s="1"/>
    </row>
    <row r="924" spans="1:8" ht="15.75" customHeight="1">
      <c r="A924" s="6">
        <v>920</v>
      </c>
      <c r="B924" s="11" t="s">
        <v>868</v>
      </c>
      <c r="C924" s="11">
        <f xml:space="preserve">     64400</f>
        <v>64400</v>
      </c>
      <c r="D924" s="11"/>
      <c r="E924" s="17"/>
      <c r="F924" s="12"/>
      <c r="G924" s="8">
        <f t="shared" si="14"/>
        <v>0</v>
      </c>
      <c r="H924" s="1"/>
    </row>
    <row r="925" spans="1:8" ht="15.75" customHeight="1">
      <c r="A925" s="6">
        <v>921</v>
      </c>
      <c r="B925" s="11" t="s">
        <v>869</v>
      </c>
      <c r="C925" s="11">
        <f xml:space="preserve">     60800</f>
        <v>60800</v>
      </c>
      <c r="D925" s="11"/>
      <c r="E925" s="17"/>
      <c r="F925" s="12"/>
      <c r="G925" s="8">
        <f t="shared" si="14"/>
        <v>0</v>
      </c>
      <c r="H925" s="1"/>
    </row>
    <row r="926" spans="1:8" ht="15.75" customHeight="1">
      <c r="A926" s="6">
        <v>922</v>
      </c>
      <c r="B926" s="11" t="s">
        <v>870</v>
      </c>
      <c r="C926" s="11">
        <f xml:space="preserve">     13150</f>
        <v>13150</v>
      </c>
      <c r="D926" s="11"/>
      <c r="E926" s="17"/>
      <c r="F926" s="12"/>
      <c r="G926" s="8">
        <f t="shared" si="14"/>
        <v>0</v>
      </c>
      <c r="H926" s="1"/>
    </row>
    <row r="927" spans="1:8" ht="15.75" customHeight="1">
      <c r="A927" s="6">
        <v>923</v>
      </c>
      <c r="B927" s="11" t="s">
        <v>871</v>
      </c>
      <c r="C927" s="11">
        <f xml:space="preserve">     12900</f>
        <v>12900</v>
      </c>
      <c r="D927" s="11"/>
      <c r="E927" s="17"/>
      <c r="F927" s="12"/>
      <c r="G927" s="8">
        <f t="shared" si="14"/>
        <v>0</v>
      </c>
      <c r="H927" s="1"/>
    </row>
    <row r="928" spans="1:8" ht="15.75" customHeight="1">
      <c r="A928" s="6">
        <v>924</v>
      </c>
      <c r="B928" s="11" t="s">
        <v>872</v>
      </c>
      <c r="C928" s="11">
        <f xml:space="preserve">      9800</f>
        <v>9800</v>
      </c>
      <c r="D928" s="11"/>
      <c r="E928" s="17"/>
      <c r="F928" s="12"/>
      <c r="G928" s="8">
        <f t="shared" si="14"/>
        <v>0</v>
      </c>
      <c r="H928" s="1"/>
    </row>
    <row r="929" spans="1:8" ht="15.75" customHeight="1">
      <c r="A929" s="6">
        <v>925</v>
      </c>
      <c r="B929" s="11" t="s">
        <v>873</v>
      </c>
      <c r="C929" s="11">
        <f xml:space="preserve">     41200</f>
        <v>41200</v>
      </c>
      <c r="D929" s="11"/>
      <c r="E929" s="17"/>
      <c r="F929" s="12"/>
      <c r="G929" s="8">
        <f t="shared" si="14"/>
        <v>0</v>
      </c>
      <c r="H929" s="1"/>
    </row>
    <row r="930" spans="1:8" ht="15.75" customHeight="1">
      <c r="A930" s="6">
        <v>926</v>
      </c>
      <c r="B930" s="11" t="s">
        <v>874</v>
      </c>
      <c r="C930" s="11">
        <f xml:space="preserve">     46800</f>
        <v>46800</v>
      </c>
      <c r="D930" s="11"/>
      <c r="E930" s="17"/>
      <c r="F930" s="12"/>
      <c r="G930" s="8">
        <f t="shared" si="14"/>
        <v>0</v>
      </c>
      <c r="H930" s="1"/>
    </row>
    <row r="931" spans="1:8" ht="15.75" customHeight="1">
      <c r="A931" s="6">
        <v>927</v>
      </c>
      <c r="B931" s="11" t="s">
        <v>875</v>
      </c>
      <c r="C931" s="11">
        <f xml:space="preserve">     32050</f>
        <v>32050</v>
      </c>
      <c r="D931" s="11"/>
      <c r="E931" s="17"/>
      <c r="F931" s="12"/>
      <c r="G931" s="8">
        <f t="shared" si="14"/>
        <v>0</v>
      </c>
      <c r="H931" s="1"/>
    </row>
    <row r="932" spans="1:8" ht="15.75" customHeight="1">
      <c r="A932" s="6">
        <v>928</v>
      </c>
      <c r="B932" s="11" t="s">
        <v>876</v>
      </c>
      <c r="C932" s="11">
        <f xml:space="preserve">     21910</f>
        <v>21910</v>
      </c>
      <c r="D932" s="11"/>
      <c r="E932" s="17"/>
      <c r="F932" s="12"/>
      <c r="G932" s="8">
        <f t="shared" si="14"/>
        <v>0</v>
      </c>
      <c r="H932" s="1"/>
    </row>
    <row r="933" spans="1:8" ht="15.75" customHeight="1">
      <c r="A933" s="6">
        <v>929</v>
      </c>
      <c r="B933" s="11" t="s">
        <v>877</v>
      </c>
      <c r="C933" s="11">
        <f xml:space="preserve">     18900</f>
        <v>18900</v>
      </c>
      <c r="D933" s="11"/>
      <c r="E933" s="17"/>
      <c r="F933" s="12"/>
      <c r="G933" s="8">
        <f t="shared" si="14"/>
        <v>0</v>
      </c>
      <c r="H933" s="1"/>
    </row>
    <row r="934" spans="1:8" ht="15.75" customHeight="1">
      <c r="A934" s="6">
        <v>930</v>
      </c>
      <c r="B934" s="11" t="s">
        <v>878</v>
      </c>
      <c r="C934" s="11">
        <f xml:space="preserve">     39900</f>
        <v>39900</v>
      </c>
      <c r="D934" s="11"/>
      <c r="E934" s="17"/>
      <c r="F934" s="12"/>
      <c r="G934" s="8">
        <f t="shared" si="14"/>
        <v>0</v>
      </c>
      <c r="H934" s="1"/>
    </row>
    <row r="935" spans="1:8" ht="15.75" customHeight="1">
      <c r="A935" s="6">
        <v>931</v>
      </c>
      <c r="B935" s="11" t="s">
        <v>879</v>
      </c>
      <c r="C935" s="11">
        <f xml:space="preserve">     41450</f>
        <v>41450</v>
      </c>
      <c r="D935" s="11"/>
      <c r="E935" s="17"/>
      <c r="F935" s="12"/>
      <c r="G935" s="8">
        <f t="shared" si="14"/>
        <v>0</v>
      </c>
      <c r="H935" s="1"/>
    </row>
    <row r="936" spans="1:8" ht="15.75" customHeight="1">
      <c r="A936" s="6">
        <v>932</v>
      </c>
      <c r="B936" s="11" t="s">
        <v>880</v>
      </c>
      <c r="C936" s="11">
        <f xml:space="preserve">     28600</f>
        <v>28600</v>
      </c>
      <c r="D936" s="11"/>
      <c r="E936" s="17"/>
      <c r="F936" s="12"/>
      <c r="G936" s="8">
        <f t="shared" si="14"/>
        <v>0</v>
      </c>
      <c r="H936" s="1"/>
    </row>
    <row r="937" spans="1:8" ht="15.75" customHeight="1">
      <c r="A937" s="6">
        <v>933</v>
      </c>
      <c r="B937" s="11" t="s">
        <v>881</v>
      </c>
      <c r="C937" s="11">
        <f xml:space="preserve">     21150</f>
        <v>21150</v>
      </c>
      <c r="D937" s="11"/>
      <c r="E937" s="17"/>
      <c r="F937" s="12"/>
      <c r="G937" s="8">
        <f t="shared" si="14"/>
        <v>0</v>
      </c>
      <c r="H937" s="1"/>
    </row>
    <row r="938" spans="1:8" ht="15.75" customHeight="1">
      <c r="A938" s="6">
        <v>934</v>
      </c>
      <c r="B938" s="11" t="s">
        <v>882</v>
      </c>
      <c r="C938" s="11">
        <f xml:space="preserve">     28300</f>
        <v>28300</v>
      </c>
      <c r="D938" s="11"/>
      <c r="E938" s="17"/>
      <c r="F938" s="12"/>
      <c r="G938" s="8">
        <f t="shared" si="14"/>
        <v>0</v>
      </c>
      <c r="H938" s="1"/>
    </row>
    <row r="939" spans="1:8" ht="15.75" customHeight="1">
      <c r="A939" s="6">
        <v>935</v>
      </c>
      <c r="B939" s="11" t="s">
        <v>883</v>
      </c>
      <c r="C939" s="11">
        <f xml:space="preserve">    114000</f>
        <v>114000</v>
      </c>
      <c r="D939" s="11"/>
      <c r="E939" s="17"/>
      <c r="F939" s="12"/>
      <c r="G939" s="8">
        <f t="shared" si="14"/>
        <v>0</v>
      </c>
      <c r="H939" s="1"/>
    </row>
    <row r="940" spans="1:8" ht="15.75" customHeight="1">
      <c r="A940" s="6">
        <v>936</v>
      </c>
      <c r="B940" s="11" t="s">
        <v>884</v>
      </c>
      <c r="C940" s="11">
        <f xml:space="preserve">     66600</f>
        <v>66600</v>
      </c>
      <c r="D940" s="11"/>
      <c r="E940" s="17"/>
      <c r="F940" s="12"/>
      <c r="G940" s="8">
        <f t="shared" si="14"/>
        <v>0</v>
      </c>
      <c r="H940" s="1"/>
    </row>
    <row r="941" spans="1:8" ht="15.75" customHeight="1">
      <c r="A941" s="6">
        <v>937</v>
      </c>
      <c r="B941" s="11" t="s">
        <v>885</v>
      </c>
      <c r="C941" s="11">
        <f xml:space="preserve">    126200</f>
        <v>126200</v>
      </c>
      <c r="D941" s="11"/>
      <c r="E941" s="17"/>
      <c r="F941" s="12"/>
      <c r="G941" s="8">
        <f t="shared" si="14"/>
        <v>0</v>
      </c>
      <c r="H941" s="1"/>
    </row>
    <row r="942" spans="1:8" ht="15.75" customHeight="1">
      <c r="A942" s="6">
        <v>938</v>
      </c>
      <c r="B942" s="11" t="s">
        <v>886</v>
      </c>
      <c r="C942" s="11">
        <f xml:space="preserve">       880</f>
        <v>880</v>
      </c>
      <c r="D942" s="11"/>
      <c r="E942" s="17"/>
      <c r="F942" s="12"/>
      <c r="G942" s="8">
        <f t="shared" si="14"/>
        <v>0</v>
      </c>
      <c r="H942" s="1"/>
    </row>
    <row r="943" spans="1:8" ht="15.75" customHeight="1">
      <c r="A943" s="6">
        <v>939</v>
      </c>
      <c r="B943" s="11" t="s">
        <v>887</v>
      </c>
      <c r="C943" s="11">
        <f xml:space="preserve">     51650</f>
        <v>51650</v>
      </c>
      <c r="D943" s="11"/>
      <c r="E943" s="17"/>
      <c r="F943" s="12"/>
      <c r="G943" s="8">
        <f t="shared" si="14"/>
        <v>0</v>
      </c>
      <c r="H943" s="1"/>
    </row>
    <row r="944" spans="1:8" ht="15.75" customHeight="1">
      <c r="A944" s="6">
        <v>940</v>
      </c>
      <c r="B944" s="11" t="s">
        <v>888</v>
      </c>
      <c r="C944" s="11">
        <f xml:space="preserve">     98150</f>
        <v>98150</v>
      </c>
      <c r="D944" s="11"/>
      <c r="E944" s="17"/>
      <c r="F944" s="12"/>
      <c r="G944" s="8">
        <f t="shared" si="14"/>
        <v>0</v>
      </c>
      <c r="H944" s="1"/>
    </row>
    <row r="945" spans="1:8" ht="15.75" customHeight="1">
      <c r="A945" s="6">
        <v>941</v>
      </c>
      <c r="B945" s="11" t="s">
        <v>889</v>
      </c>
      <c r="C945" s="11">
        <f xml:space="preserve">      8750</f>
        <v>8750</v>
      </c>
      <c r="D945" s="11"/>
      <c r="E945" s="17"/>
      <c r="F945" s="12"/>
      <c r="G945" s="8">
        <f t="shared" si="14"/>
        <v>0</v>
      </c>
      <c r="H945" s="1"/>
    </row>
    <row r="946" spans="1:8" ht="15.75" customHeight="1">
      <c r="A946" s="6">
        <v>942</v>
      </c>
      <c r="B946" s="11" t="s">
        <v>890</v>
      </c>
      <c r="C946" s="11">
        <f xml:space="preserve">     11300</f>
        <v>11300</v>
      </c>
      <c r="D946" s="11"/>
      <c r="E946" s="17"/>
      <c r="F946" s="12"/>
      <c r="G946" s="8">
        <f t="shared" si="14"/>
        <v>0</v>
      </c>
      <c r="H946" s="1"/>
    </row>
    <row r="947" spans="1:8" ht="15.75" customHeight="1">
      <c r="A947" s="6">
        <v>943</v>
      </c>
      <c r="B947" s="11" t="s">
        <v>891</v>
      </c>
      <c r="C947" s="11">
        <f xml:space="preserve">      3200</f>
        <v>3200</v>
      </c>
      <c r="D947" s="11"/>
      <c r="E947" s="17"/>
      <c r="F947" s="12"/>
      <c r="G947" s="8">
        <f t="shared" si="14"/>
        <v>0</v>
      </c>
      <c r="H947" s="1"/>
    </row>
    <row r="948" spans="1:8" ht="15.75" customHeight="1">
      <c r="A948" s="6">
        <v>944</v>
      </c>
      <c r="B948" s="11" t="s">
        <v>892</v>
      </c>
      <c r="C948" s="11">
        <f xml:space="preserve">      2800</f>
        <v>2800</v>
      </c>
      <c r="D948" s="11"/>
      <c r="E948" s="17"/>
      <c r="F948" s="12"/>
      <c r="G948" s="8">
        <f t="shared" si="14"/>
        <v>0</v>
      </c>
      <c r="H948" s="1"/>
    </row>
    <row r="949" spans="1:8" ht="15.75" customHeight="1">
      <c r="A949" s="6">
        <v>945</v>
      </c>
      <c r="B949" s="11" t="s">
        <v>893</v>
      </c>
      <c r="C949" s="11">
        <f xml:space="preserve">      3700</f>
        <v>3700</v>
      </c>
      <c r="D949" s="11"/>
      <c r="E949" s="17"/>
      <c r="F949" s="12"/>
      <c r="G949" s="8">
        <f t="shared" si="14"/>
        <v>0</v>
      </c>
      <c r="H949" s="1"/>
    </row>
    <row r="950" spans="1:8" ht="15.75" customHeight="1">
      <c r="A950" s="6">
        <v>946</v>
      </c>
      <c r="B950" s="11" t="s">
        <v>894</v>
      </c>
      <c r="C950" s="11">
        <f xml:space="preserve">      2800</f>
        <v>2800</v>
      </c>
      <c r="D950" s="11"/>
      <c r="E950" s="17"/>
      <c r="F950" s="12"/>
      <c r="G950" s="8">
        <f t="shared" si="14"/>
        <v>0</v>
      </c>
      <c r="H950" s="1"/>
    </row>
    <row r="951" spans="1:8" ht="15.75" customHeight="1">
      <c r="A951" s="6">
        <v>947</v>
      </c>
      <c r="B951" s="11" t="s">
        <v>895</v>
      </c>
      <c r="C951" s="11">
        <f xml:space="preserve">     11500</f>
        <v>11500</v>
      </c>
      <c r="D951" s="11"/>
      <c r="E951" s="17"/>
      <c r="F951" s="12"/>
      <c r="G951" s="8">
        <f t="shared" si="14"/>
        <v>0</v>
      </c>
      <c r="H951" s="1"/>
    </row>
    <row r="952" spans="1:8" ht="15.75" customHeight="1">
      <c r="A952" s="6">
        <v>948</v>
      </c>
      <c r="B952" s="11" t="s">
        <v>896</v>
      </c>
      <c r="C952" s="11">
        <f xml:space="preserve">     27800</f>
        <v>27800</v>
      </c>
      <c r="D952" s="11"/>
      <c r="E952" s="17"/>
      <c r="F952" s="12"/>
      <c r="G952" s="8">
        <f t="shared" si="14"/>
        <v>0</v>
      </c>
      <c r="H952" s="1"/>
    </row>
    <row r="953" spans="1:8" ht="15.75" customHeight="1">
      <c r="A953" s="6">
        <v>949</v>
      </c>
      <c r="B953" s="11" t="s">
        <v>897</v>
      </c>
      <c r="C953" s="11">
        <f xml:space="preserve">      2600</f>
        <v>2600</v>
      </c>
      <c r="D953" s="11"/>
      <c r="E953" s="17"/>
      <c r="F953" s="12"/>
      <c r="G953" s="8">
        <f t="shared" si="14"/>
        <v>0</v>
      </c>
      <c r="H953" s="1"/>
    </row>
    <row r="954" spans="1:8" ht="15.75" customHeight="1">
      <c r="A954" s="6">
        <v>950</v>
      </c>
      <c r="B954" s="11" t="s">
        <v>898</v>
      </c>
      <c r="C954" s="11">
        <f xml:space="preserve">     18350</f>
        <v>18350</v>
      </c>
      <c r="D954" s="11"/>
      <c r="E954" s="17"/>
      <c r="F954" s="12"/>
      <c r="G954" s="8">
        <f t="shared" si="14"/>
        <v>0</v>
      </c>
      <c r="H954" s="1"/>
    </row>
    <row r="955" spans="1:8" ht="15.75" customHeight="1">
      <c r="A955" s="6">
        <v>951</v>
      </c>
      <c r="B955" s="11" t="s">
        <v>899</v>
      </c>
      <c r="C955" s="11">
        <f xml:space="preserve">     28100</f>
        <v>28100</v>
      </c>
      <c r="D955" s="11"/>
      <c r="E955" s="17"/>
      <c r="F955" s="12"/>
      <c r="G955" s="8">
        <f t="shared" si="14"/>
        <v>0</v>
      </c>
      <c r="H955" s="1"/>
    </row>
    <row r="956" spans="1:8" ht="15.75" customHeight="1">
      <c r="A956" s="6">
        <v>952</v>
      </c>
      <c r="B956" s="11" t="s">
        <v>900</v>
      </c>
      <c r="C956" s="11">
        <f xml:space="preserve">     29850</f>
        <v>29850</v>
      </c>
      <c r="D956" s="11"/>
      <c r="E956" s="17"/>
      <c r="F956" s="12"/>
      <c r="G956" s="8">
        <f t="shared" si="14"/>
        <v>0</v>
      </c>
      <c r="H956" s="1"/>
    </row>
    <row r="957" spans="1:8" ht="15.75" customHeight="1">
      <c r="A957" s="6">
        <v>953</v>
      </c>
      <c r="B957" s="11" t="s">
        <v>901</v>
      </c>
      <c r="C957" s="11">
        <f xml:space="preserve">     49500</f>
        <v>49500</v>
      </c>
      <c r="D957" s="11"/>
      <c r="E957" s="17"/>
      <c r="F957" s="12"/>
      <c r="G957" s="8">
        <f t="shared" si="14"/>
        <v>0</v>
      </c>
      <c r="H957" s="1"/>
    </row>
    <row r="958" spans="1:8" ht="15.75" customHeight="1">
      <c r="A958" s="6">
        <v>954</v>
      </c>
      <c r="B958" s="11" t="s">
        <v>901</v>
      </c>
      <c r="C958" s="11">
        <f xml:space="preserve">     48850</f>
        <v>48850</v>
      </c>
      <c r="D958" s="11"/>
      <c r="E958" s="17"/>
      <c r="F958" s="12"/>
      <c r="G958" s="8">
        <f t="shared" si="14"/>
        <v>0</v>
      </c>
      <c r="H958" s="1"/>
    </row>
    <row r="959" spans="1:8" ht="15.75" customHeight="1">
      <c r="A959" s="6">
        <v>955</v>
      </c>
      <c r="B959" s="11" t="s">
        <v>902</v>
      </c>
      <c r="C959" s="11">
        <f xml:space="preserve">     29200</f>
        <v>29200</v>
      </c>
      <c r="D959" s="11"/>
      <c r="E959" s="17"/>
      <c r="F959" s="12"/>
      <c r="G959" s="8">
        <f t="shared" si="14"/>
        <v>0</v>
      </c>
      <c r="H959" s="1"/>
    </row>
    <row r="960" spans="1:8" ht="15.75" customHeight="1">
      <c r="A960" s="6">
        <v>956</v>
      </c>
      <c r="B960" s="11" t="s">
        <v>903</v>
      </c>
      <c r="C960" s="11">
        <f xml:space="preserve">     22000</f>
        <v>22000</v>
      </c>
      <c r="D960" s="11"/>
      <c r="E960" s="17"/>
      <c r="F960" s="12"/>
      <c r="G960" s="8">
        <f t="shared" si="14"/>
        <v>0</v>
      </c>
      <c r="H960" s="1"/>
    </row>
    <row r="961" spans="1:8" ht="15.75" customHeight="1">
      <c r="A961" s="6">
        <v>957</v>
      </c>
      <c r="B961" s="11" t="s">
        <v>904</v>
      </c>
      <c r="C961" s="11">
        <f xml:space="preserve">     51100</f>
        <v>51100</v>
      </c>
      <c r="D961" s="11"/>
      <c r="E961" s="17"/>
      <c r="F961" s="12"/>
      <c r="G961" s="8">
        <f t="shared" si="14"/>
        <v>0</v>
      </c>
      <c r="H961" s="1"/>
    </row>
    <row r="962" spans="1:8" ht="15.75" customHeight="1">
      <c r="A962" s="6">
        <v>958</v>
      </c>
      <c r="B962" s="11" t="s">
        <v>905</v>
      </c>
      <c r="C962" s="11">
        <f xml:space="preserve">     46950</f>
        <v>46950</v>
      </c>
      <c r="D962" s="11"/>
      <c r="E962" s="17"/>
      <c r="F962" s="12"/>
      <c r="G962" s="8">
        <f t="shared" si="14"/>
        <v>0</v>
      </c>
      <c r="H962" s="1"/>
    </row>
    <row r="963" spans="1:8" ht="15.75" customHeight="1">
      <c r="A963" s="6">
        <v>959</v>
      </c>
      <c r="B963" s="11" t="s">
        <v>906</v>
      </c>
      <c r="C963" s="11">
        <f xml:space="preserve">     72000</f>
        <v>72000</v>
      </c>
      <c r="D963" s="11"/>
      <c r="E963" s="17"/>
      <c r="F963" s="12"/>
      <c r="G963" s="8">
        <f t="shared" si="14"/>
        <v>0</v>
      </c>
      <c r="H963" s="1"/>
    </row>
    <row r="964" spans="1:8" ht="15.75" customHeight="1">
      <c r="A964" s="6">
        <v>960</v>
      </c>
      <c r="B964" s="11" t="s">
        <v>907</v>
      </c>
      <c r="C964" s="11">
        <f xml:space="preserve">     26600</f>
        <v>26600</v>
      </c>
      <c r="D964" s="11"/>
      <c r="E964" s="17"/>
      <c r="F964" s="12"/>
      <c r="G964" s="8">
        <f t="shared" si="14"/>
        <v>0</v>
      </c>
      <c r="H964" s="1"/>
    </row>
    <row r="965" spans="1:8" ht="15.75" customHeight="1">
      <c r="A965" s="6">
        <v>961</v>
      </c>
      <c r="B965" s="11" t="s">
        <v>908</v>
      </c>
      <c r="C965" s="11">
        <f xml:space="preserve">      4500</f>
        <v>4500</v>
      </c>
      <c r="D965" s="11"/>
      <c r="E965" s="17"/>
      <c r="F965" s="12"/>
      <c r="G965" s="8">
        <f t="shared" ref="G965:G1028" si="15">C965*D965+E965*F965</f>
        <v>0</v>
      </c>
      <c r="H965" s="1"/>
    </row>
    <row r="966" spans="1:8" ht="15.75" customHeight="1">
      <c r="A966" s="6">
        <v>962</v>
      </c>
      <c r="B966" s="11" t="s">
        <v>908</v>
      </c>
      <c r="C966" s="11">
        <f xml:space="preserve">      4500</f>
        <v>4500</v>
      </c>
      <c r="D966" s="11"/>
      <c r="E966" s="17"/>
      <c r="F966" s="12"/>
      <c r="G966" s="8">
        <f t="shared" si="15"/>
        <v>0</v>
      </c>
      <c r="H966" s="1"/>
    </row>
    <row r="967" spans="1:8" ht="15.75" customHeight="1">
      <c r="A967" s="6">
        <v>963</v>
      </c>
      <c r="B967" s="11" t="s">
        <v>909</v>
      </c>
      <c r="C967" s="11">
        <f xml:space="preserve">      8050</f>
        <v>8050</v>
      </c>
      <c r="D967" s="11"/>
      <c r="E967" s="17"/>
      <c r="F967" s="12"/>
      <c r="G967" s="8">
        <f t="shared" si="15"/>
        <v>0</v>
      </c>
      <c r="H967" s="1"/>
    </row>
    <row r="968" spans="1:8" ht="15.75" customHeight="1">
      <c r="A968" s="6">
        <v>964</v>
      </c>
      <c r="B968" s="11" t="s">
        <v>2468</v>
      </c>
      <c r="C968" s="11">
        <f xml:space="preserve">     39500</f>
        <v>39500</v>
      </c>
      <c r="D968" s="11"/>
      <c r="E968" s="17"/>
      <c r="F968" s="12"/>
      <c r="G968" s="8">
        <f t="shared" si="15"/>
        <v>0</v>
      </c>
      <c r="H968" s="1"/>
    </row>
    <row r="969" spans="1:8" ht="15.75" customHeight="1">
      <c r="A969" s="6">
        <v>965</v>
      </c>
      <c r="B969" s="11" t="s">
        <v>2469</v>
      </c>
      <c r="C969" s="11">
        <f xml:space="preserve">     39500</f>
        <v>39500</v>
      </c>
      <c r="D969" s="11"/>
      <c r="E969" s="17"/>
      <c r="F969" s="12"/>
      <c r="G969" s="8">
        <f t="shared" si="15"/>
        <v>0</v>
      </c>
      <c r="H969" s="1"/>
    </row>
    <row r="970" spans="1:8" ht="15.75" customHeight="1">
      <c r="A970" s="6">
        <v>966</v>
      </c>
      <c r="B970" s="11" t="s">
        <v>910</v>
      </c>
      <c r="C970" s="11">
        <f xml:space="preserve">     15260</f>
        <v>15260</v>
      </c>
      <c r="D970" s="11"/>
      <c r="E970" s="17"/>
      <c r="F970" s="12"/>
      <c r="G970" s="8">
        <f t="shared" si="15"/>
        <v>0</v>
      </c>
      <c r="H970" s="1"/>
    </row>
    <row r="971" spans="1:8" ht="15.75" customHeight="1">
      <c r="A971" s="6">
        <v>967</v>
      </c>
      <c r="B971" s="11" t="s">
        <v>911</v>
      </c>
      <c r="C971" s="11">
        <f xml:space="preserve">      3000</f>
        <v>3000</v>
      </c>
      <c r="D971" s="11"/>
      <c r="E971" s="17"/>
      <c r="F971" s="12"/>
      <c r="G971" s="8">
        <f t="shared" si="15"/>
        <v>0</v>
      </c>
      <c r="H971" s="1"/>
    </row>
    <row r="972" spans="1:8" ht="15.75" customHeight="1">
      <c r="A972" s="6">
        <v>968</v>
      </c>
      <c r="B972" s="11" t="s">
        <v>912</v>
      </c>
      <c r="C972" s="11">
        <f xml:space="preserve">     30850</f>
        <v>30850</v>
      </c>
      <c r="D972" s="11"/>
      <c r="E972" s="17"/>
      <c r="F972" s="12"/>
      <c r="G972" s="8">
        <f t="shared" si="15"/>
        <v>0</v>
      </c>
      <c r="H972" s="1"/>
    </row>
    <row r="973" spans="1:8" ht="15.75" customHeight="1">
      <c r="A973" s="6">
        <v>969</v>
      </c>
      <c r="B973" s="11" t="s">
        <v>913</v>
      </c>
      <c r="C973" s="11">
        <f xml:space="preserve">      3100</f>
        <v>3100</v>
      </c>
      <c r="D973" s="11"/>
      <c r="E973" s="17"/>
      <c r="F973" s="12"/>
      <c r="G973" s="8">
        <f t="shared" si="15"/>
        <v>0</v>
      </c>
      <c r="H973" s="1"/>
    </row>
    <row r="974" spans="1:8" ht="15.75" customHeight="1">
      <c r="A974" s="6">
        <v>970</v>
      </c>
      <c r="B974" s="11" t="s">
        <v>914</v>
      </c>
      <c r="C974" s="11">
        <f xml:space="preserve">     20700</f>
        <v>20700</v>
      </c>
      <c r="D974" s="11"/>
      <c r="E974" s="17"/>
      <c r="F974" s="12"/>
      <c r="G974" s="8">
        <f t="shared" si="15"/>
        <v>0</v>
      </c>
      <c r="H974" s="1"/>
    </row>
    <row r="975" spans="1:8" ht="15.75" customHeight="1">
      <c r="A975" s="6">
        <v>971</v>
      </c>
      <c r="B975" s="11" t="s">
        <v>915</v>
      </c>
      <c r="C975" s="11">
        <f xml:space="preserve">     84600</f>
        <v>84600</v>
      </c>
      <c r="D975" s="11"/>
      <c r="E975" s="17"/>
      <c r="F975" s="12"/>
      <c r="G975" s="8">
        <f t="shared" si="15"/>
        <v>0</v>
      </c>
      <c r="H975" s="1"/>
    </row>
    <row r="976" spans="1:8" ht="15.75" customHeight="1">
      <c r="A976" s="6">
        <v>972</v>
      </c>
      <c r="B976" s="11" t="s">
        <v>916</v>
      </c>
      <c r="C976" s="11">
        <f xml:space="preserve">    112100</f>
        <v>112100</v>
      </c>
      <c r="D976" s="11"/>
      <c r="E976" s="17"/>
      <c r="F976" s="12"/>
      <c r="G976" s="8">
        <f t="shared" si="15"/>
        <v>0</v>
      </c>
      <c r="H976" s="1"/>
    </row>
    <row r="977" spans="1:8" ht="15.75" customHeight="1">
      <c r="A977" s="6">
        <v>973</v>
      </c>
      <c r="B977" s="11" t="s">
        <v>917</v>
      </c>
      <c r="C977" s="11">
        <f xml:space="preserve">     52550</f>
        <v>52550</v>
      </c>
      <c r="D977" s="11"/>
      <c r="E977" s="17"/>
      <c r="F977" s="12"/>
      <c r="G977" s="8">
        <f t="shared" si="15"/>
        <v>0</v>
      </c>
      <c r="H977" s="1"/>
    </row>
    <row r="978" spans="1:8" ht="15.75" customHeight="1">
      <c r="A978" s="6">
        <v>974</v>
      </c>
      <c r="B978" s="11" t="s">
        <v>918</v>
      </c>
      <c r="C978" s="11">
        <f xml:space="preserve">     14750</f>
        <v>14750</v>
      </c>
      <c r="D978" s="11"/>
      <c r="E978" s="17"/>
      <c r="F978" s="12"/>
      <c r="G978" s="8">
        <f t="shared" si="15"/>
        <v>0</v>
      </c>
      <c r="H978" s="1"/>
    </row>
    <row r="979" spans="1:8" ht="15.75" customHeight="1">
      <c r="A979" s="6">
        <v>975</v>
      </c>
      <c r="B979" s="11" t="s">
        <v>919</v>
      </c>
      <c r="C979" s="11">
        <f xml:space="preserve">     14300</f>
        <v>14300</v>
      </c>
      <c r="D979" s="11"/>
      <c r="E979" s="17"/>
      <c r="F979" s="12"/>
      <c r="G979" s="8">
        <f t="shared" si="15"/>
        <v>0</v>
      </c>
      <c r="H979" s="1"/>
    </row>
    <row r="980" spans="1:8" ht="15.75" customHeight="1">
      <c r="A980" s="6">
        <v>976</v>
      </c>
      <c r="B980" s="11" t="s">
        <v>920</v>
      </c>
      <c r="C980" s="11">
        <f xml:space="preserve">     10200</f>
        <v>10200</v>
      </c>
      <c r="D980" s="11"/>
      <c r="E980" s="17"/>
      <c r="F980" s="12"/>
      <c r="G980" s="8">
        <f t="shared" si="15"/>
        <v>0</v>
      </c>
      <c r="H980" s="1"/>
    </row>
    <row r="981" spans="1:8" ht="15.75" customHeight="1">
      <c r="A981" s="6">
        <v>977</v>
      </c>
      <c r="B981" s="11" t="s">
        <v>921</v>
      </c>
      <c r="C981" s="11">
        <f xml:space="preserve">       825</f>
        <v>825</v>
      </c>
      <c r="D981" s="11"/>
      <c r="E981" s="17"/>
      <c r="F981" s="12"/>
      <c r="G981" s="8">
        <f t="shared" si="15"/>
        <v>0</v>
      </c>
      <c r="H981" s="1"/>
    </row>
    <row r="982" spans="1:8" ht="15.75" customHeight="1">
      <c r="A982" s="6">
        <v>978</v>
      </c>
      <c r="B982" s="11" t="s">
        <v>2470</v>
      </c>
      <c r="C982" s="11">
        <f xml:space="preserve">      9500</f>
        <v>9500</v>
      </c>
      <c r="D982" s="11"/>
      <c r="E982" s="17"/>
      <c r="F982" s="12"/>
      <c r="G982" s="8">
        <f t="shared" si="15"/>
        <v>0</v>
      </c>
      <c r="H982" s="1"/>
    </row>
    <row r="983" spans="1:8" ht="15.75" customHeight="1">
      <c r="A983" s="6">
        <v>979</v>
      </c>
      <c r="B983" s="11" t="s">
        <v>922</v>
      </c>
      <c r="C983" s="11">
        <f xml:space="preserve">     26500</f>
        <v>26500</v>
      </c>
      <c r="D983" s="11"/>
      <c r="E983" s="17"/>
      <c r="F983" s="12"/>
      <c r="G983" s="8">
        <f t="shared" si="15"/>
        <v>0</v>
      </c>
      <c r="H983" s="1"/>
    </row>
    <row r="984" spans="1:8" ht="15.75" customHeight="1">
      <c r="A984" s="6">
        <v>980</v>
      </c>
      <c r="B984" s="11" t="s">
        <v>923</v>
      </c>
      <c r="C984" s="11">
        <f xml:space="preserve">     21250</f>
        <v>21250</v>
      </c>
      <c r="D984" s="11"/>
      <c r="E984" s="17"/>
      <c r="F984" s="12"/>
      <c r="G984" s="8">
        <f t="shared" si="15"/>
        <v>0</v>
      </c>
      <c r="H984" s="1"/>
    </row>
    <row r="985" spans="1:8" ht="15.75" customHeight="1">
      <c r="A985" s="6">
        <v>981</v>
      </c>
      <c r="B985" s="11" t="s">
        <v>924</v>
      </c>
      <c r="C985" s="11">
        <f xml:space="preserve">     51350</f>
        <v>51350</v>
      </c>
      <c r="D985" s="11"/>
      <c r="E985" s="17"/>
      <c r="F985" s="12"/>
      <c r="G985" s="8">
        <f t="shared" si="15"/>
        <v>0</v>
      </c>
      <c r="H985" s="1"/>
    </row>
    <row r="986" spans="1:8" ht="15.75" customHeight="1">
      <c r="A986" s="6">
        <v>982</v>
      </c>
      <c r="B986" s="11" t="s">
        <v>925</v>
      </c>
      <c r="C986" s="11">
        <f xml:space="preserve">     37900</f>
        <v>37900</v>
      </c>
      <c r="D986" s="11"/>
      <c r="E986" s="17"/>
      <c r="F986" s="12"/>
      <c r="G986" s="8">
        <f t="shared" si="15"/>
        <v>0</v>
      </c>
      <c r="H986" s="1"/>
    </row>
    <row r="987" spans="1:8" ht="15.75" customHeight="1">
      <c r="A987" s="6">
        <v>983</v>
      </c>
      <c r="B987" s="11" t="s">
        <v>926</v>
      </c>
      <c r="C987" s="11">
        <f xml:space="preserve">     22600</f>
        <v>22600</v>
      </c>
      <c r="D987" s="11"/>
      <c r="E987" s="17"/>
      <c r="F987" s="12"/>
      <c r="G987" s="8">
        <f t="shared" si="15"/>
        <v>0</v>
      </c>
      <c r="H987" s="1"/>
    </row>
    <row r="988" spans="1:8" ht="15.75" customHeight="1">
      <c r="A988" s="6">
        <v>984</v>
      </c>
      <c r="B988" s="11" t="s">
        <v>927</v>
      </c>
      <c r="C988" s="11">
        <f xml:space="preserve">      2450</f>
        <v>2450</v>
      </c>
      <c r="D988" s="11"/>
      <c r="E988" s="17"/>
      <c r="F988" s="12"/>
      <c r="G988" s="8">
        <f t="shared" si="15"/>
        <v>0</v>
      </c>
      <c r="H988" s="1"/>
    </row>
    <row r="989" spans="1:8" ht="15.75" customHeight="1">
      <c r="A989" s="6">
        <v>985</v>
      </c>
      <c r="B989" s="11" t="s">
        <v>928</v>
      </c>
      <c r="C989" s="11">
        <f xml:space="preserve">      1900</f>
        <v>1900</v>
      </c>
      <c r="D989" s="11"/>
      <c r="E989" s="17"/>
      <c r="F989" s="12"/>
      <c r="G989" s="8">
        <f t="shared" si="15"/>
        <v>0</v>
      </c>
      <c r="H989" s="1"/>
    </row>
    <row r="990" spans="1:8" ht="15.75" customHeight="1">
      <c r="A990" s="6">
        <v>986</v>
      </c>
      <c r="B990" s="11" t="s">
        <v>929</v>
      </c>
      <c r="C990" s="11">
        <f xml:space="preserve">      2700</f>
        <v>2700</v>
      </c>
      <c r="D990" s="11"/>
      <c r="E990" s="17"/>
      <c r="F990" s="12"/>
      <c r="G990" s="8">
        <f t="shared" si="15"/>
        <v>0</v>
      </c>
      <c r="H990" s="1"/>
    </row>
    <row r="991" spans="1:8" ht="15.75" customHeight="1">
      <c r="A991" s="6">
        <v>987</v>
      </c>
      <c r="B991" s="11" t="s">
        <v>930</v>
      </c>
      <c r="C991" s="11">
        <f xml:space="preserve">     44950</f>
        <v>44950</v>
      </c>
      <c r="D991" s="11"/>
      <c r="E991" s="17"/>
      <c r="F991" s="12"/>
      <c r="G991" s="8">
        <f t="shared" si="15"/>
        <v>0</v>
      </c>
      <c r="H991" s="1"/>
    </row>
    <row r="992" spans="1:8" ht="15.75" customHeight="1">
      <c r="A992" s="6">
        <v>988</v>
      </c>
      <c r="B992" s="11" t="s">
        <v>931</v>
      </c>
      <c r="C992" s="11">
        <f xml:space="preserve">     60750</f>
        <v>60750</v>
      </c>
      <c r="D992" s="11"/>
      <c r="E992" s="17"/>
      <c r="F992" s="12"/>
      <c r="G992" s="8">
        <f t="shared" si="15"/>
        <v>0</v>
      </c>
      <c r="H992" s="1"/>
    </row>
    <row r="993" spans="1:8" ht="15.75" customHeight="1">
      <c r="A993" s="6">
        <v>989</v>
      </c>
      <c r="B993" s="11" t="s">
        <v>932</v>
      </c>
      <c r="C993" s="11">
        <f xml:space="preserve">     24850</f>
        <v>24850</v>
      </c>
      <c r="D993" s="11"/>
      <c r="E993" s="17"/>
      <c r="F993" s="12"/>
      <c r="G993" s="8">
        <f t="shared" si="15"/>
        <v>0</v>
      </c>
      <c r="H993" s="1"/>
    </row>
    <row r="994" spans="1:8" ht="15.75" customHeight="1">
      <c r="A994" s="6">
        <v>990</v>
      </c>
      <c r="B994" s="11" t="s">
        <v>933</v>
      </c>
      <c r="C994" s="11">
        <f xml:space="preserve">     14150</f>
        <v>14150</v>
      </c>
      <c r="D994" s="11"/>
      <c r="E994" s="17"/>
      <c r="F994" s="12"/>
      <c r="G994" s="8">
        <f t="shared" si="15"/>
        <v>0</v>
      </c>
      <c r="H994" s="1"/>
    </row>
    <row r="995" spans="1:8" ht="15.75" customHeight="1">
      <c r="A995" s="6">
        <v>991</v>
      </c>
      <c r="B995" s="11" t="s">
        <v>934</v>
      </c>
      <c r="C995" s="11">
        <f xml:space="preserve">     82750</f>
        <v>82750</v>
      </c>
      <c r="D995" s="11"/>
      <c r="E995" s="17"/>
      <c r="F995" s="12"/>
      <c r="G995" s="8">
        <f t="shared" si="15"/>
        <v>0</v>
      </c>
      <c r="H995" s="1"/>
    </row>
    <row r="996" spans="1:8" ht="15.75" customHeight="1">
      <c r="A996" s="6">
        <v>992</v>
      </c>
      <c r="B996" s="11" t="s">
        <v>935</v>
      </c>
      <c r="C996" s="11">
        <f xml:space="preserve">     82100</f>
        <v>82100</v>
      </c>
      <c r="D996" s="11"/>
      <c r="E996" s="17"/>
      <c r="F996" s="12"/>
      <c r="G996" s="8">
        <f t="shared" si="15"/>
        <v>0</v>
      </c>
      <c r="H996" s="1"/>
    </row>
    <row r="997" spans="1:8" ht="15.75" customHeight="1">
      <c r="A997" s="6">
        <v>993</v>
      </c>
      <c r="B997" s="11" t="s">
        <v>936</v>
      </c>
      <c r="C997" s="11">
        <f xml:space="preserve">     36500</f>
        <v>36500</v>
      </c>
      <c r="D997" s="11"/>
      <c r="E997" s="17"/>
      <c r="F997" s="12"/>
      <c r="G997" s="8">
        <f t="shared" si="15"/>
        <v>0</v>
      </c>
      <c r="H997" s="1"/>
    </row>
    <row r="998" spans="1:8" ht="15.75" customHeight="1">
      <c r="A998" s="6">
        <v>994</v>
      </c>
      <c r="B998" s="11" t="s">
        <v>937</v>
      </c>
      <c r="C998" s="11">
        <f xml:space="preserve">     52300</f>
        <v>52300</v>
      </c>
      <c r="D998" s="11"/>
      <c r="E998" s="17"/>
      <c r="F998" s="12"/>
      <c r="G998" s="8">
        <f t="shared" si="15"/>
        <v>0</v>
      </c>
      <c r="H998" s="1"/>
    </row>
    <row r="999" spans="1:8" ht="15.75" customHeight="1">
      <c r="A999" s="6">
        <v>995</v>
      </c>
      <c r="B999" s="11" t="s">
        <v>938</v>
      </c>
      <c r="C999" s="11">
        <f xml:space="preserve">     62500</f>
        <v>62500</v>
      </c>
      <c r="D999" s="11"/>
      <c r="E999" s="17"/>
      <c r="F999" s="12"/>
      <c r="G999" s="8">
        <f t="shared" si="15"/>
        <v>0</v>
      </c>
      <c r="H999" s="1"/>
    </row>
    <row r="1000" spans="1:8" ht="15.75" customHeight="1">
      <c r="A1000" s="6">
        <v>996</v>
      </c>
      <c r="B1000" s="11" t="s">
        <v>939</v>
      </c>
      <c r="C1000" s="11">
        <f xml:space="preserve">      4990</f>
        <v>4990</v>
      </c>
      <c r="D1000" s="11"/>
      <c r="E1000" s="17"/>
      <c r="F1000" s="12"/>
      <c r="G1000" s="8">
        <f t="shared" si="15"/>
        <v>0</v>
      </c>
      <c r="H1000" s="1"/>
    </row>
    <row r="1001" spans="1:8" ht="15.75" customHeight="1">
      <c r="A1001" s="6">
        <v>997</v>
      </c>
      <c r="B1001" s="11" t="s">
        <v>940</v>
      </c>
      <c r="C1001" s="11">
        <f xml:space="preserve">     50950</f>
        <v>50950</v>
      </c>
      <c r="D1001" s="11"/>
      <c r="E1001" s="17"/>
      <c r="F1001" s="12"/>
      <c r="G1001" s="8">
        <f t="shared" si="15"/>
        <v>0</v>
      </c>
      <c r="H1001" s="1"/>
    </row>
    <row r="1002" spans="1:8" ht="15.75" customHeight="1">
      <c r="A1002" s="6">
        <v>998</v>
      </c>
      <c r="B1002" s="11" t="s">
        <v>941</v>
      </c>
      <c r="C1002" s="11">
        <f xml:space="preserve">     15200</f>
        <v>15200</v>
      </c>
      <c r="D1002" s="11"/>
      <c r="E1002" s="17"/>
      <c r="F1002" s="12"/>
      <c r="G1002" s="8">
        <f t="shared" si="15"/>
        <v>0</v>
      </c>
      <c r="H1002" s="1"/>
    </row>
    <row r="1003" spans="1:8" ht="15.75" customHeight="1">
      <c r="A1003" s="6">
        <v>999</v>
      </c>
      <c r="B1003" s="11" t="s">
        <v>942</v>
      </c>
      <c r="C1003" s="11">
        <f xml:space="preserve">     25100</f>
        <v>25100</v>
      </c>
      <c r="D1003" s="11"/>
      <c r="E1003" s="17"/>
      <c r="F1003" s="12"/>
      <c r="G1003" s="8">
        <f t="shared" si="15"/>
        <v>0</v>
      </c>
      <c r="H1003" s="1"/>
    </row>
    <row r="1004" spans="1:8" ht="15.75" customHeight="1">
      <c r="A1004" s="6">
        <v>1000</v>
      </c>
      <c r="B1004" s="11" t="s">
        <v>943</v>
      </c>
      <c r="C1004" s="11">
        <f xml:space="preserve">      8200</f>
        <v>8200</v>
      </c>
      <c r="D1004" s="11"/>
      <c r="E1004" s="17"/>
      <c r="F1004" s="12"/>
      <c r="G1004" s="8">
        <f t="shared" si="15"/>
        <v>0</v>
      </c>
      <c r="H1004" s="1"/>
    </row>
    <row r="1005" spans="1:8" ht="15.75" customHeight="1">
      <c r="A1005" s="6">
        <v>1001</v>
      </c>
      <c r="B1005" s="11" t="s">
        <v>944</v>
      </c>
      <c r="C1005" s="11">
        <f xml:space="preserve">     56300</f>
        <v>56300</v>
      </c>
      <c r="D1005" s="11"/>
      <c r="E1005" s="17"/>
      <c r="F1005" s="12"/>
      <c r="G1005" s="8">
        <f t="shared" si="15"/>
        <v>0</v>
      </c>
      <c r="H1005" s="1"/>
    </row>
    <row r="1006" spans="1:8" ht="15.75" customHeight="1">
      <c r="A1006" s="6">
        <v>1002</v>
      </c>
      <c r="B1006" s="11" t="s">
        <v>945</v>
      </c>
      <c r="C1006" s="11">
        <f xml:space="preserve">     64600</f>
        <v>64600</v>
      </c>
      <c r="D1006" s="11"/>
      <c r="E1006" s="17"/>
      <c r="F1006" s="12"/>
      <c r="G1006" s="8">
        <f t="shared" si="15"/>
        <v>0</v>
      </c>
      <c r="H1006" s="1"/>
    </row>
    <row r="1007" spans="1:8" ht="15.75" customHeight="1">
      <c r="A1007" s="6">
        <v>1003</v>
      </c>
      <c r="B1007" s="11" t="s">
        <v>946</v>
      </c>
      <c r="C1007" s="11">
        <f xml:space="preserve">     25950</f>
        <v>25950</v>
      </c>
      <c r="D1007" s="11"/>
      <c r="E1007" s="17"/>
      <c r="F1007" s="12"/>
      <c r="G1007" s="8">
        <f t="shared" si="15"/>
        <v>0</v>
      </c>
      <c r="H1007" s="1"/>
    </row>
    <row r="1008" spans="1:8" ht="15.75" customHeight="1">
      <c r="A1008" s="6">
        <v>1004</v>
      </c>
      <c r="B1008" s="11" t="s">
        <v>947</v>
      </c>
      <c r="C1008" s="11">
        <f xml:space="preserve">     11400</f>
        <v>11400</v>
      </c>
      <c r="D1008" s="11"/>
      <c r="E1008" s="17"/>
      <c r="F1008" s="12"/>
      <c r="G1008" s="8">
        <f t="shared" si="15"/>
        <v>0</v>
      </c>
      <c r="H1008" s="1"/>
    </row>
    <row r="1009" spans="1:8" ht="15.75" customHeight="1">
      <c r="A1009" s="6">
        <v>1005</v>
      </c>
      <c r="B1009" s="11" t="s">
        <v>948</v>
      </c>
      <c r="C1009" s="11">
        <f xml:space="preserve">     82900</f>
        <v>82900</v>
      </c>
      <c r="D1009" s="11"/>
      <c r="E1009" s="17"/>
      <c r="F1009" s="12"/>
      <c r="G1009" s="8">
        <f t="shared" si="15"/>
        <v>0</v>
      </c>
      <c r="H1009" s="1"/>
    </row>
    <row r="1010" spans="1:8" ht="15.75" customHeight="1">
      <c r="A1010" s="6">
        <v>1006</v>
      </c>
      <c r="B1010" s="11" t="s">
        <v>949</v>
      </c>
      <c r="C1010" s="11">
        <f xml:space="preserve">    111150</f>
        <v>111150</v>
      </c>
      <c r="D1010" s="11"/>
      <c r="E1010" s="17"/>
      <c r="F1010" s="12"/>
      <c r="G1010" s="8">
        <f t="shared" si="15"/>
        <v>0</v>
      </c>
      <c r="H1010" s="1"/>
    </row>
    <row r="1011" spans="1:8" ht="15.75" customHeight="1">
      <c r="A1011" s="6">
        <v>1007</v>
      </c>
      <c r="B1011" s="11" t="s">
        <v>950</v>
      </c>
      <c r="C1011" s="11">
        <f xml:space="preserve">     18850</f>
        <v>18850</v>
      </c>
      <c r="D1011" s="11"/>
      <c r="E1011" s="17"/>
      <c r="F1011" s="12"/>
      <c r="G1011" s="8">
        <f t="shared" si="15"/>
        <v>0</v>
      </c>
      <c r="H1011" s="1"/>
    </row>
    <row r="1012" spans="1:8" ht="15.75" customHeight="1">
      <c r="A1012" s="6">
        <v>1008</v>
      </c>
      <c r="B1012" s="11" t="s">
        <v>951</v>
      </c>
      <c r="C1012" s="11">
        <f xml:space="preserve">    110450</f>
        <v>110450</v>
      </c>
      <c r="D1012" s="11"/>
      <c r="E1012" s="17"/>
      <c r="F1012" s="12"/>
      <c r="G1012" s="8">
        <f t="shared" si="15"/>
        <v>0</v>
      </c>
      <c r="H1012" s="1"/>
    </row>
    <row r="1013" spans="1:8" ht="15.75" customHeight="1">
      <c r="A1013" s="6">
        <v>1009</v>
      </c>
      <c r="B1013" s="11" t="s">
        <v>952</v>
      </c>
      <c r="C1013" s="11">
        <f xml:space="preserve">     86950</f>
        <v>86950</v>
      </c>
      <c r="D1013" s="11"/>
      <c r="E1013" s="17"/>
      <c r="F1013" s="12"/>
      <c r="G1013" s="8">
        <f t="shared" si="15"/>
        <v>0</v>
      </c>
      <c r="H1013" s="1"/>
    </row>
    <row r="1014" spans="1:8" ht="15.75" customHeight="1">
      <c r="A1014" s="6">
        <v>1010</v>
      </c>
      <c r="B1014" s="11" t="s">
        <v>953</v>
      </c>
      <c r="C1014" s="11">
        <f xml:space="preserve">     39250</f>
        <v>39250</v>
      </c>
      <c r="D1014" s="11"/>
      <c r="E1014" s="17"/>
      <c r="F1014" s="12"/>
      <c r="G1014" s="8">
        <f t="shared" si="15"/>
        <v>0</v>
      </c>
      <c r="H1014" s="1"/>
    </row>
    <row r="1015" spans="1:8" ht="15.75" customHeight="1">
      <c r="A1015" s="6">
        <v>1011</v>
      </c>
      <c r="B1015" s="11" t="s">
        <v>954</v>
      </c>
      <c r="C1015" s="11">
        <f xml:space="preserve">     60000</f>
        <v>60000</v>
      </c>
      <c r="D1015" s="11"/>
      <c r="E1015" s="17"/>
      <c r="F1015" s="12"/>
      <c r="G1015" s="8">
        <f t="shared" si="15"/>
        <v>0</v>
      </c>
      <c r="H1015" s="1"/>
    </row>
    <row r="1016" spans="1:8" ht="15.75" customHeight="1">
      <c r="A1016" s="6">
        <v>1012</v>
      </c>
      <c r="B1016" s="11" t="s">
        <v>955</v>
      </c>
      <c r="C1016" s="11">
        <f xml:space="preserve">     97350</f>
        <v>97350</v>
      </c>
      <c r="D1016" s="11"/>
      <c r="E1016" s="17"/>
      <c r="F1016" s="12"/>
      <c r="G1016" s="8">
        <f t="shared" si="15"/>
        <v>0</v>
      </c>
      <c r="H1016" s="1"/>
    </row>
    <row r="1017" spans="1:8" ht="15.75" customHeight="1">
      <c r="A1017" s="6">
        <v>1013</v>
      </c>
      <c r="B1017" s="11" t="s">
        <v>956</v>
      </c>
      <c r="C1017" s="11">
        <f xml:space="preserve">     90850</f>
        <v>90850</v>
      </c>
      <c r="D1017" s="11"/>
      <c r="E1017" s="17"/>
      <c r="F1017" s="12"/>
      <c r="G1017" s="8">
        <f t="shared" si="15"/>
        <v>0</v>
      </c>
      <c r="H1017" s="1"/>
    </row>
    <row r="1018" spans="1:8" ht="15.75" customHeight="1">
      <c r="A1018" s="6">
        <v>1014</v>
      </c>
      <c r="B1018" s="11" t="s">
        <v>957</v>
      </c>
      <c r="C1018" s="11">
        <f xml:space="preserve">     64200</f>
        <v>64200</v>
      </c>
      <c r="D1018" s="11"/>
      <c r="E1018" s="17"/>
      <c r="F1018" s="12"/>
      <c r="G1018" s="8">
        <f t="shared" si="15"/>
        <v>0</v>
      </c>
      <c r="H1018" s="1"/>
    </row>
    <row r="1019" spans="1:8" ht="15.75" customHeight="1">
      <c r="A1019" s="6">
        <v>1015</v>
      </c>
      <c r="B1019" s="11" t="s">
        <v>958</v>
      </c>
      <c r="C1019" s="11">
        <f xml:space="preserve">     50400</f>
        <v>50400</v>
      </c>
      <c r="D1019" s="11"/>
      <c r="E1019" s="17"/>
      <c r="F1019" s="12"/>
      <c r="G1019" s="8">
        <f t="shared" si="15"/>
        <v>0</v>
      </c>
      <c r="H1019" s="1"/>
    </row>
    <row r="1020" spans="1:8" ht="15.75" customHeight="1">
      <c r="A1020" s="6">
        <v>1016</v>
      </c>
      <c r="B1020" s="11" t="s">
        <v>959</v>
      </c>
      <c r="C1020" s="11">
        <f xml:space="preserve">     39700</f>
        <v>39700</v>
      </c>
      <c r="D1020" s="11"/>
      <c r="E1020" s="17"/>
      <c r="F1020" s="12"/>
      <c r="G1020" s="8">
        <f t="shared" si="15"/>
        <v>0</v>
      </c>
      <c r="H1020" s="1"/>
    </row>
    <row r="1021" spans="1:8" ht="15.75" customHeight="1">
      <c r="A1021" s="6">
        <v>1017</v>
      </c>
      <c r="B1021" s="11" t="s">
        <v>960</v>
      </c>
      <c r="C1021" s="11">
        <f xml:space="preserve">       910</f>
        <v>910</v>
      </c>
      <c r="D1021" s="11"/>
      <c r="E1021" s="17"/>
      <c r="F1021" s="12"/>
      <c r="G1021" s="8">
        <f t="shared" si="15"/>
        <v>0</v>
      </c>
      <c r="H1021" s="1"/>
    </row>
    <row r="1022" spans="1:8" ht="15.75" customHeight="1">
      <c r="A1022" s="6">
        <v>1018</v>
      </c>
      <c r="B1022" s="11" t="s">
        <v>961</v>
      </c>
      <c r="C1022" s="11">
        <f xml:space="preserve">       910</f>
        <v>910</v>
      </c>
      <c r="D1022" s="11"/>
      <c r="E1022" s="17"/>
      <c r="F1022" s="12"/>
      <c r="G1022" s="8">
        <f t="shared" si="15"/>
        <v>0</v>
      </c>
      <c r="H1022" s="1"/>
    </row>
    <row r="1023" spans="1:8" ht="15.75" customHeight="1">
      <c r="A1023" s="6">
        <v>1019</v>
      </c>
      <c r="B1023" s="11" t="s">
        <v>962</v>
      </c>
      <c r="C1023" s="11">
        <f xml:space="preserve">       910</f>
        <v>910</v>
      </c>
      <c r="D1023" s="11"/>
      <c r="E1023" s="17"/>
      <c r="F1023" s="12"/>
      <c r="G1023" s="8">
        <f t="shared" si="15"/>
        <v>0</v>
      </c>
      <c r="H1023" s="1"/>
    </row>
    <row r="1024" spans="1:8" ht="15.75" customHeight="1">
      <c r="A1024" s="6">
        <v>1020</v>
      </c>
      <c r="B1024" s="11" t="s">
        <v>963</v>
      </c>
      <c r="C1024" s="11">
        <f xml:space="preserve">     28700</f>
        <v>28700</v>
      </c>
      <c r="D1024" s="11"/>
      <c r="E1024" s="17"/>
      <c r="F1024" s="12"/>
      <c r="G1024" s="8">
        <f t="shared" si="15"/>
        <v>0</v>
      </c>
      <c r="H1024" s="1"/>
    </row>
    <row r="1025" spans="1:8" ht="15.75" customHeight="1">
      <c r="A1025" s="6">
        <v>1021</v>
      </c>
      <c r="B1025" s="11" t="s">
        <v>963</v>
      </c>
      <c r="C1025" s="11">
        <f xml:space="preserve">     28700</f>
        <v>28700</v>
      </c>
      <c r="D1025" s="11"/>
      <c r="E1025" s="17"/>
      <c r="F1025" s="12"/>
      <c r="G1025" s="8">
        <f t="shared" si="15"/>
        <v>0</v>
      </c>
      <c r="H1025" s="1"/>
    </row>
    <row r="1026" spans="1:8" ht="15.75" customHeight="1">
      <c r="A1026" s="6">
        <v>1022</v>
      </c>
      <c r="B1026" s="11" t="s">
        <v>964</v>
      </c>
      <c r="C1026" s="11">
        <f xml:space="preserve">     22900</f>
        <v>22900</v>
      </c>
      <c r="D1026" s="11"/>
      <c r="E1026" s="17"/>
      <c r="F1026" s="12"/>
      <c r="G1026" s="8">
        <f t="shared" si="15"/>
        <v>0</v>
      </c>
      <c r="H1026" s="1"/>
    </row>
    <row r="1027" spans="1:8" ht="15.75" customHeight="1">
      <c r="A1027" s="6">
        <v>1023</v>
      </c>
      <c r="B1027" s="11" t="s">
        <v>965</v>
      </c>
      <c r="C1027" s="11">
        <f xml:space="preserve">     94000</f>
        <v>94000</v>
      </c>
      <c r="D1027" s="11"/>
      <c r="E1027" s="17"/>
      <c r="F1027" s="12"/>
      <c r="G1027" s="8">
        <f t="shared" si="15"/>
        <v>0</v>
      </c>
      <c r="H1027" s="1"/>
    </row>
    <row r="1028" spans="1:8" ht="15.75" customHeight="1">
      <c r="A1028" s="6">
        <v>1024</v>
      </c>
      <c r="B1028" s="11" t="s">
        <v>966</v>
      </c>
      <c r="C1028" s="11">
        <f xml:space="preserve">     55500</f>
        <v>55500</v>
      </c>
      <c r="D1028" s="11"/>
      <c r="E1028" s="17"/>
      <c r="F1028" s="12"/>
      <c r="G1028" s="8">
        <f t="shared" si="15"/>
        <v>0</v>
      </c>
      <c r="H1028" s="1"/>
    </row>
    <row r="1029" spans="1:8" ht="15.75" customHeight="1">
      <c r="A1029" s="6">
        <v>1025</v>
      </c>
      <c r="B1029" s="11" t="s">
        <v>967</v>
      </c>
      <c r="C1029" s="11">
        <f xml:space="preserve">     73500</f>
        <v>73500</v>
      </c>
      <c r="D1029" s="11"/>
      <c r="E1029" s="17"/>
      <c r="F1029" s="12"/>
      <c r="G1029" s="8">
        <f t="shared" ref="G1029:G1091" si="16">C1029*D1029+E1029*F1029</f>
        <v>0</v>
      </c>
      <c r="H1029" s="1"/>
    </row>
    <row r="1030" spans="1:8" ht="15.75" customHeight="1">
      <c r="A1030" s="6">
        <v>1026</v>
      </c>
      <c r="B1030" s="11" t="s">
        <v>968</v>
      </c>
      <c r="C1030" s="11">
        <f xml:space="preserve">     96400</f>
        <v>96400</v>
      </c>
      <c r="D1030" s="11"/>
      <c r="E1030" s="17"/>
      <c r="F1030" s="12"/>
      <c r="G1030" s="8">
        <f t="shared" si="16"/>
        <v>0</v>
      </c>
      <c r="H1030" s="1"/>
    </row>
    <row r="1031" spans="1:8" ht="15.75" customHeight="1">
      <c r="A1031" s="6">
        <v>1027</v>
      </c>
      <c r="B1031" s="11" t="s">
        <v>969</v>
      </c>
      <c r="C1031" s="11">
        <f xml:space="preserve">    134700</f>
        <v>134700</v>
      </c>
      <c r="D1031" s="11"/>
      <c r="E1031" s="17"/>
      <c r="F1031" s="12"/>
      <c r="G1031" s="8">
        <f t="shared" si="16"/>
        <v>0</v>
      </c>
      <c r="H1031" s="1"/>
    </row>
    <row r="1032" spans="1:8" ht="15.75" customHeight="1">
      <c r="A1032" s="6">
        <v>1028</v>
      </c>
      <c r="B1032" s="11" t="s">
        <v>970</v>
      </c>
      <c r="C1032" s="11">
        <f xml:space="preserve">     76300</f>
        <v>76300</v>
      </c>
      <c r="D1032" s="11"/>
      <c r="E1032" s="17"/>
      <c r="F1032" s="12"/>
      <c r="G1032" s="8">
        <f t="shared" si="16"/>
        <v>0</v>
      </c>
      <c r="H1032" s="1"/>
    </row>
    <row r="1033" spans="1:8" ht="15.75" customHeight="1">
      <c r="A1033" s="6">
        <v>1029</v>
      </c>
      <c r="B1033" s="11" t="s">
        <v>971</v>
      </c>
      <c r="C1033" s="11">
        <f xml:space="preserve">     41450</f>
        <v>41450</v>
      </c>
      <c r="D1033" s="11"/>
      <c r="E1033" s="17"/>
      <c r="F1033" s="12"/>
      <c r="G1033" s="8">
        <f t="shared" si="16"/>
        <v>0</v>
      </c>
      <c r="H1033" s="1"/>
    </row>
    <row r="1034" spans="1:8" ht="15.75" customHeight="1">
      <c r="A1034" s="6">
        <v>1030</v>
      </c>
      <c r="B1034" s="11" t="s">
        <v>972</v>
      </c>
      <c r="C1034" s="11">
        <f xml:space="preserve">     74500</f>
        <v>74500</v>
      </c>
      <c r="D1034" s="11"/>
      <c r="E1034" s="17"/>
      <c r="F1034" s="12"/>
      <c r="G1034" s="8">
        <f t="shared" si="16"/>
        <v>0</v>
      </c>
      <c r="H1034" s="1"/>
    </row>
    <row r="1035" spans="1:8" ht="15.75" customHeight="1">
      <c r="A1035" s="6">
        <v>1031</v>
      </c>
      <c r="B1035" s="11" t="s">
        <v>973</v>
      </c>
      <c r="C1035" s="11">
        <f xml:space="preserve">     43900</f>
        <v>43900</v>
      </c>
      <c r="D1035" s="11"/>
      <c r="E1035" s="17"/>
      <c r="F1035" s="12"/>
      <c r="G1035" s="8">
        <f t="shared" si="16"/>
        <v>0</v>
      </c>
      <c r="H1035" s="1"/>
    </row>
    <row r="1036" spans="1:8" ht="15.75" customHeight="1">
      <c r="A1036" s="6">
        <v>1032</v>
      </c>
      <c r="B1036" s="11" t="s">
        <v>974</v>
      </c>
      <c r="C1036" s="11">
        <f xml:space="preserve">     29800</f>
        <v>29800</v>
      </c>
      <c r="D1036" s="11"/>
      <c r="E1036" s="17"/>
      <c r="F1036" s="12"/>
      <c r="G1036" s="8">
        <f t="shared" si="16"/>
        <v>0</v>
      </c>
      <c r="H1036" s="1"/>
    </row>
    <row r="1037" spans="1:8" ht="15.75" customHeight="1">
      <c r="A1037" s="6">
        <v>1033</v>
      </c>
      <c r="B1037" s="11" t="s">
        <v>975</v>
      </c>
      <c r="C1037" s="11">
        <f xml:space="preserve">     22950</f>
        <v>22950</v>
      </c>
      <c r="D1037" s="11"/>
      <c r="E1037" s="17"/>
      <c r="F1037" s="12"/>
      <c r="G1037" s="8">
        <f t="shared" si="16"/>
        <v>0</v>
      </c>
      <c r="H1037" s="1"/>
    </row>
    <row r="1038" spans="1:8" ht="15.75" customHeight="1">
      <c r="A1038" s="6">
        <v>1034</v>
      </c>
      <c r="B1038" s="11" t="s">
        <v>976</v>
      </c>
      <c r="C1038" s="11">
        <f xml:space="preserve">     33650</f>
        <v>33650</v>
      </c>
      <c r="D1038" s="11"/>
      <c r="E1038" s="17"/>
      <c r="F1038" s="12"/>
      <c r="G1038" s="8">
        <f t="shared" si="16"/>
        <v>0</v>
      </c>
      <c r="H1038" s="1"/>
    </row>
    <row r="1039" spans="1:8" ht="15.75" customHeight="1">
      <c r="A1039" s="6">
        <v>1035</v>
      </c>
      <c r="B1039" s="11" t="s">
        <v>977</v>
      </c>
      <c r="C1039" s="11">
        <f xml:space="preserve">     40150</f>
        <v>40150</v>
      </c>
      <c r="D1039" s="11"/>
      <c r="E1039" s="17"/>
      <c r="F1039" s="12"/>
      <c r="G1039" s="8">
        <f t="shared" si="16"/>
        <v>0</v>
      </c>
      <c r="H1039" s="1"/>
    </row>
    <row r="1040" spans="1:8" ht="15.75" customHeight="1">
      <c r="A1040" s="6">
        <v>1036</v>
      </c>
      <c r="B1040" s="11" t="s">
        <v>978</v>
      </c>
      <c r="C1040" s="11">
        <f xml:space="preserve">     12500</f>
        <v>12500</v>
      </c>
      <c r="D1040" s="11"/>
      <c r="E1040" s="17"/>
      <c r="F1040" s="12"/>
      <c r="G1040" s="8">
        <f t="shared" si="16"/>
        <v>0</v>
      </c>
      <c r="H1040" s="1"/>
    </row>
    <row r="1041" spans="1:8" ht="15.75" customHeight="1">
      <c r="A1041" s="6">
        <v>1037</v>
      </c>
      <c r="B1041" s="11" t="s">
        <v>979</v>
      </c>
      <c r="C1041" s="11">
        <f xml:space="preserve">     12950</f>
        <v>12950</v>
      </c>
      <c r="D1041" s="11"/>
      <c r="E1041" s="17"/>
      <c r="F1041" s="12"/>
      <c r="G1041" s="8">
        <f t="shared" si="16"/>
        <v>0</v>
      </c>
      <c r="H1041" s="1"/>
    </row>
    <row r="1042" spans="1:8" ht="15.75" customHeight="1">
      <c r="A1042" s="6">
        <v>1038</v>
      </c>
      <c r="B1042" s="11" t="s">
        <v>980</v>
      </c>
      <c r="C1042" s="11">
        <f xml:space="preserve">     30700</f>
        <v>30700</v>
      </c>
      <c r="D1042" s="11"/>
      <c r="E1042" s="17"/>
      <c r="F1042" s="12"/>
      <c r="G1042" s="8">
        <f t="shared" si="16"/>
        <v>0</v>
      </c>
      <c r="H1042" s="1"/>
    </row>
    <row r="1043" spans="1:8" ht="15.75" customHeight="1">
      <c r="A1043" s="6">
        <v>1039</v>
      </c>
      <c r="B1043" s="11" t="s">
        <v>981</v>
      </c>
      <c r="C1043" s="11">
        <f xml:space="preserve">     11100</f>
        <v>11100</v>
      </c>
      <c r="D1043" s="11"/>
      <c r="E1043" s="17"/>
      <c r="F1043" s="12"/>
      <c r="G1043" s="8">
        <f t="shared" si="16"/>
        <v>0</v>
      </c>
      <c r="H1043" s="1"/>
    </row>
    <row r="1044" spans="1:8" ht="15.75" customHeight="1">
      <c r="A1044" s="6">
        <v>1040</v>
      </c>
      <c r="B1044" s="11" t="s">
        <v>982</v>
      </c>
      <c r="C1044" s="11">
        <f xml:space="preserve">      5100</f>
        <v>5100</v>
      </c>
      <c r="D1044" s="11"/>
      <c r="E1044" s="17"/>
      <c r="F1044" s="12"/>
      <c r="G1044" s="8">
        <f t="shared" si="16"/>
        <v>0</v>
      </c>
      <c r="H1044" s="1"/>
    </row>
    <row r="1045" spans="1:8" ht="15.75" customHeight="1">
      <c r="A1045" s="6">
        <v>1041</v>
      </c>
      <c r="B1045" s="11" t="s">
        <v>983</v>
      </c>
      <c r="C1045" s="11">
        <f xml:space="preserve">     40900</f>
        <v>40900</v>
      </c>
      <c r="D1045" s="11"/>
      <c r="E1045" s="17"/>
      <c r="F1045" s="12"/>
      <c r="G1045" s="8">
        <f t="shared" si="16"/>
        <v>0</v>
      </c>
      <c r="H1045" s="1"/>
    </row>
    <row r="1046" spans="1:8" ht="15.75" customHeight="1">
      <c r="A1046" s="6">
        <v>1042</v>
      </c>
      <c r="B1046" s="11" t="s">
        <v>984</v>
      </c>
      <c r="C1046" s="11">
        <f xml:space="preserve">    152600</f>
        <v>152600</v>
      </c>
      <c r="D1046" s="11"/>
      <c r="E1046" s="17"/>
      <c r="F1046" s="12"/>
      <c r="G1046" s="8">
        <f t="shared" si="16"/>
        <v>0</v>
      </c>
      <c r="H1046" s="1"/>
    </row>
    <row r="1047" spans="1:8" ht="15.75" customHeight="1">
      <c r="A1047" s="6">
        <v>1043</v>
      </c>
      <c r="B1047" s="11" t="s">
        <v>985</v>
      </c>
      <c r="C1047" s="11">
        <f xml:space="preserve">     14500</f>
        <v>14500</v>
      </c>
      <c r="D1047" s="11"/>
      <c r="E1047" s="17"/>
      <c r="F1047" s="12"/>
      <c r="G1047" s="8">
        <f t="shared" si="16"/>
        <v>0</v>
      </c>
      <c r="H1047" s="1"/>
    </row>
    <row r="1048" spans="1:8" ht="15.75" customHeight="1">
      <c r="A1048" s="6">
        <v>1044</v>
      </c>
      <c r="B1048" s="11" t="s">
        <v>986</v>
      </c>
      <c r="C1048" s="11">
        <f xml:space="preserve">     19500</f>
        <v>19500</v>
      </c>
      <c r="D1048" s="11"/>
      <c r="E1048" s="17"/>
      <c r="F1048" s="12"/>
      <c r="G1048" s="8">
        <f t="shared" si="16"/>
        <v>0</v>
      </c>
      <c r="H1048" s="1"/>
    </row>
    <row r="1049" spans="1:8" ht="15.75" customHeight="1">
      <c r="A1049" s="6">
        <v>1045</v>
      </c>
      <c r="B1049" s="11" t="s">
        <v>987</v>
      </c>
      <c r="C1049" s="11">
        <f xml:space="preserve">     10260</f>
        <v>10260</v>
      </c>
      <c r="D1049" s="11"/>
      <c r="E1049" s="17"/>
      <c r="F1049" s="12"/>
      <c r="G1049" s="8">
        <f t="shared" si="16"/>
        <v>0</v>
      </c>
      <c r="H1049" s="1"/>
    </row>
    <row r="1050" spans="1:8" ht="15.75" customHeight="1">
      <c r="A1050" s="6">
        <v>1046</v>
      </c>
      <c r="B1050" s="11" t="s">
        <v>988</v>
      </c>
      <c r="C1050" s="11">
        <f xml:space="preserve">     66200</f>
        <v>66200</v>
      </c>
      <c r="D1050" s="11"/>
      <c r="E1050" s="17"/>
      <c r="F1050" s="12"/>
      <c r="G1050" s="8">
        <f t="shared" si="16"/>
        <v>0</v>
      </c>
      <c r="H1050" s="1"/>
    </row>
    <row r="1051" spans="1:8" ht="15.75" customHeight="1">
      <c r="A1051" s="6">
        <v>1047</v>
      </c>
      <c r="B1051" s="11" t="s">
        <v>989</v>
      </c>
      <c r="C1051" s="11">
        <f xml:space="preserve">     58000</f>
        <v>58000</v>
      </c>
      <c r="D1051" s="11"/>
      <c r="E1051" s="17"/>
      <c r="F1051" s="12"/>
      <c r="G1051" s="8">
        <f t="shared" si="16"/>
        <v>0</v>
      </c>
      <c r="H1051" s="1"/>
    </row>
    <row r="1052" spans="1:8" ht="15.75" customHeight="1">
      <c r="A1052" s="6">
        <v>1048</v>
      </c>
      <c r="B1052" s="11" t="s">
        <v>990</v>
      </c>
      <c r="C1052" s="11">
        <f xml:space="preserve">    161950</f>
        <v>161950</v>
      </c>
      <c r="D1052" s="11"/>
      <c r="E1052" s="17"/>
      <c r="F1052" s="12"/>
      <c r="G1052" s="8">
        <f t="shared" si="16"/>
        <v>0</v>
      </c>
      <c r="H1052" s="1"/>
    </row>
    <row r="1053" spans="1:8" ht="15.75" customHeight="1">
      <c r="A1053" s="6">
        <v>1049</v>
      </c>
      <c r="B1053" s="11" t="s">
        <v>991</v>
      </c>
      <c r="C1053" s="11">
        <f xml:space="preserve">     35100</f>
        <v>35100</v>
      </c>
      <c r="D1053" s="11"/>
      <c r="E1053" s="17"/>
      <c r="F1053" s="12"/>
      <c r="G1053" s="8">
        <f t="shared" si="16"/>
        <v>0</v>
      </c>
      <c r="H1053" s="1"/>
    </row>
    <row r="1054" spans="1:8" ht="15.75" customHeight="1">
      <c r="A1054" s="6">
        <v>1050</v>
      </c>
      <c r="B1054" s="11" t="s">
        <v>992</v>
      </c>
      <c r="C1054" s="11">
        <f xml:space="preserve">     43350</f>
        <v>43350</v>
      </c>
      <c r="D1054" s="11"/>
      <c r="E1054" s="17"/>
      <c r="F1054" s="12"/>
      <c r="G1054" s="8">
        <f t="shared" si="16"/>
        <v>0</v>
      </c>
      <c r="H1054" s="1"/>
    </row>
    <row r="1055" spans="1:8" ht="15.75" customHeight="1">
      <c r="A1055" s="6">
        <v>1051</v>
      </c>
      <c r="B1055" s="11" t="s">
        <v>993</v>
      </c>
      <c r="C1055" s="11">
        <f xml:space="preserve">     22100</f>
        <v>22100</v>
      </c>
      <c r="D1055" s="11"/>
      <c r="E1055" s="17"/>
      <c r="F1055" s="12"/>
      <c r="G1055" s="8">
        <f t="shared" si="16"/>
        <v>0</v>
      </c>
      <c r="H1055" s="1"/>
    </row>
    <row r="1056" spans="1:8" ht="15.75" customHeight="1">
      <c r="A1056" s="6">
        <v>1052</v>
      </c>
      <c r="B1056" s="11" t="s">
        <v>994</v>
      </c>
      <c r="C1056" s="11">
        <f xml:space="preserve">    110350</f>
        <v>110350</v>
      </c>
      <c r="D1056" s="11"/>
      <c r="E1056" s="17"/>
      <c r="F1056" s="12"/>
      <c r="G1056" s="8">
        <f t="shared" si="16"/>
        <v>0</v>
      </c>
      <c r="H1056" s="1"/>
    </row>
    <row r="1057" spans="1:8" ht="15.75" customHeight="1">
      <c r="A1057" s="6">
        <v>1053</v>
      </c>
      <c r="B1057" s="11" t="s">
        <v>995</v>
      </c>
      <c r="C1057" s="11">
        <f xml:space="preserve">     66400</f>
        <v>66400</v>
      </c>
      <c r="D1057" s="11"/>
      <c r="E1057" s="17"/>
      <c r="F1057" s="12"/>
      <c r="G1057" s="8">
        <f t="shared" si="16"/>
        <v>0</v>
      </c>
      <c r="H1057" s="1"/>
    </row>
    <row r="1058" spans="1:8" ht="15.75" customHeight="1">
      <c r="A1058" s="6">
        <v>1054</v>
      </c>
      <c r="B1058" s="11" t="s">
        <v>2471</v>
      </c>
      <c r="C1058" s="11">
        <f xml:space="preserve">     40800</f>
        <v>40800</v>
      </c>
      <c r="D1058" s="11"/>
      <c r="E1058" s="17"/>
      <c r="F1058" s="12"/>
      <c r="G1058" s="8">
        <f t="shared" si="16"/>
        <v>0</v>
      </c>
      <c r="H1058" s="1"/>
    </row>
    <row r="1059" spans="1:8" ht="15.75" customHeight="1">
      <c r="A1059" s="6">
        <v>1055</v>
      </c>
      <c r="B1059" s="11" t="s">
        <v>996</v>
      </c>
      <c r="C1059" s="11">
        <f xml:space="preserve">    106800</f>
        <v>106800</v>
      </c>
      <c r="D1059" s="11"/>
      <c r="E1059" s="17"/>
      <c r="F1059" s="12"/>
      <c r="G1059" s="8">
        <f t="shared" si="16"/>
        <v>0</v>
      </c>
      <c r="H1059" s="1"/>
    </row>
    <row r="1060" spans="1:8" ht="15.75" customHeight="1">
      <c r="A1060" s="6">
        <v>1056</v>
      </c>
      <c r="B1060" s="11" t="s">
        <v>997</v>
      </c>
      <c r="C1060" s="11">
        <f xml:space="preserve">     66250</f>
        <v>66250</v>
      </c>
      <c r="D1060" s="11"/>
      <c r="E1060" s="17"/>
      <c r="F1060" s="12"/>
      <c r="G1060" s="8">
        <f t="shared" si="16"/>
        <v>0</v>
      </c>
      <c r="H1060" s="1"/>
    </row>
    <row r="1061" spans="1:8" ht="15.75" customHeight="1">
      <c r="A1061" s="6">
        <v>1057</v>
      </c>
      <c r="B1061" s="11" t="s">
        <v>998</v>
      </c>
      <c r="C1061" s="11">
        <f xml:space="preserve">     88500</f>
        <v>88500</v>
      </c>
      <c r="D1061" s="11"/>
      <c r="E1061" s="17"/>
      <c r="F1061" s="12"/>
      <c r="G1061" s="8">
        <f t="shared" si="16"/>
        <v>0</v>
      </c>
      <c r="H1061" s="1"/>
    </row>
    <row r="1062" spans="1:8" ht="15.75" customHeight="1">
      <c r="A1062" s="6">
        <v>1058</v>
      </c>
      <c r="B1062" s="11" t="s">
        <v>999</v>
      </c>
      <c r="C1062" s="11">
        <f xml:space="preserve">     88200</f>
        <v>88200</v>
      </c>
      <c r="D1062" s="11"/>
      <c r="E1062" s="17"/>
      <c r="F1062" s="12"/>
      <c r="G1062" s="8">
        <f t="shared" si="16"/>
        <v>0</v>
      </c>
      <c r="H1062" s="1"/>
    </row>
    <row r="1063" spans="1:8" ht="15.75" customHeight="1">
      <c r="A1063" s="6">
        <v>1059</v>
      </c>
      <c r="B1063" s="11" t="s">
        <v>1000</v>
      </c>
      <c r="C1063" s="11">
        <f xml:space="preserve">     14700</f>
        <v>14700</v>
      </c>
      <c r="D1063" s="11"/>
      <c r="E1063" s="17"/>
      <c r="F1063" s="12"/>
      <c r="G1063" s="8">
        <f t="shared" si="16"/>
        <v>0</v>
      </c>
      <c r="H1063" s="1"/>
    </row>
    <row r="1064" spans="1:8" ht="15.75" customHeight="1">
      <c r="A1064" s="6">
        <v>1060</v>
      </c>
      <c r="B1064" s="11" t="s">
        <v>1001</v>
      </c>
      <c r="C1064" s="11">
        <f xml:space="preserve">     13750</f>
        <v>13750</v>
      </c>
      <c r="D1064" s="11"/>
      <c r="E1064" s="17"/>
      <c r="F1064" s="12"/>
      <c r="G1064" s="8">
        <f t="shared" si="16"/>
        <v>0</v>
      </c>
      <c r="H1064" s="1"/>
    </row>
    <row r="1065" spans="1:8" ht="15.75" customHeight="1">
      <c r="A1065" s="6">
        <v>1061</v>
      </c>
      <c r="B1065" s="11" t="s">
        <v>1001</v>
      </c>
      <c r="C1065" s="11">
        <f xml:space="preserve">     13550</f>
        <v>13550</v>
      </c>
      <c r="D1065" s="11"/>
      <c r="E1065" s="17"/>
      <c r="F1065" s="12"/>
      <c r="G1065" s="8">
        <f t="shared" si="16"/>
        <v>0</v>
      </c>
      <c r="H1065" s="1"/>
    </row>
    <row r="1066" spans="1:8" ht="15.75" customHeight="1">
      <c r="A1066" s="6">
        <v>1062</v>
      </c>
      <c r="B1066" s="11" t="s">
        <v>1002</v>
      </c>
      <c r="C1066" s="11">
        <f xml:space="preserve">    104550</f>
        <v>104550</v>
      </c>
      <c r="D1066" s="11"/>
      <c r="E1066" s="17"/>
      <c r="F1066" s="12"/>
      <c r="G1066" s="8">
        <f t="shared" si="16"/>
        <v>0</v>
      </c>
      <c r="H1066" s="1"/>
    </row>
    <row r="1067" spans="1:8" ht="15.75" customHeight="1">
      <c r="A1067" s="6">
        <v>1063</v>
      </c>
      <c r="B1067" s="11" t="s">
        <v>1003</v>
      </c>
      <c r="C1067" s="11">
        <f xml:space="preserve">      4950</f>
        <v>4950</v>
      </c>
      <c r="D1067" s="11"/>
      <c r="E1067" s="17"/>
      <c r="F1067" s="12"/>
      <c r="G1067" s="8">
        <f t="shared" si="16"/>
        <v>0</v>
      </c>
      <c r="H1067" s="1"/>
    </row>
    <row r="1068" spans="1:8" ht="15.75" customHeight="1">
      <c r="A1068" s="6">
        <v>1064</v>
      </c>
      <c r="B1068" s="11" t="s">
        <v>1004</v>
      </c>
      <c r="C1068" s="11">
        <f xml:space="preserve">     38100</f>
        <v>38100</v>
      </c>
      <c r="D1068" s="11"/>
      <c r="E1068" s="17"/>
      <c r="F1068" s="12"/>
      <c r="G1068" s="8">
        <f t="shared" si="16"/>
        <v>0</v>
      </c>
      <c r="H1068" s="1"/>
    </row>
    <row r="1069" spans="1:8" ht="15.75" customHeight="1">
      <c r="A1069" s="6">
        <v>1065</v>
      </c>
      <c r="B1069" s="11" t="s">
        <v>1005</v>
      </c>
      <c r="C1069" s="11">
        <f xml:space="preserve">     30200</f>
        <v>30200</v>
      </c>
      <c r="D1069" s="11"/>
      <c r="E1069" s="17"/>
      <c r="F1069" s="12"/>
      <c r="G1069" s="8">
        <f t="shared" si="16"/>
        <v>0</v>
      </c>
      <c r="H1069" s="1"/>
    </row>
    <row r="1070" spans="1:8" ht="15.75" customHeight="1">
      <c r="A1070" s="6">
        <v>1066</v>
      </c>
      <c r="B1070" s="11" t="s">
        <v>1006</v>
      </c>
      <c r="C1070" s="11">
        <f xml:space="preserve">     40000</f>
        <v>40000</v>
      </c>
      <c r="D1070" s="11"/>
      <c r="E1070" s="17"/>
      <c r="F1070" s="12"/>
      <c r="G1070" s="8">
        <f t="shared" si="16"/>
        <v>0</v>
      </c>
      <c r="H1070" s="1"/>
    </row>
    <row r="1071" spans="1:8" ht="15.75" customHeight="1">
      <c r="A1071" s="6">
        <v>1067</v>
      </c>
      <c r="B1071" s="11" t="s">
        <v>1007</v>
      </c>
      <c r="C1071" s="11">
        <f xml:space="preserve">     37500</f>
        <v>37500</v>
      </c>
      <c r="D1071" s="11"/>
      <c r="E1071" s="17"/>
      <c r="F1071" s="12"/>
      <c r="G1071" s="8">
        <f t="shared" si="16"/>
        <v>0</v>
      </c>
      <c r="H1071" s="1"/>
    </row>
    <row r="1072" spans="1:8" ht="15.75" customHeight="1">
      <c r="A1072" s="6">
        <v>1068</v>
      </c>
      <c r="B1072" s="11" t="s">
        <v>1008</v>
      </c>
      <c r="C1072" s="11">
        <f xml:space="preserve">     31000</f>
        <v>31000</v>
      </c>
      <c r="D1072" s="11"/>
      <c r="E1072" s="17"/>
      <c r="F1072" s="12"/>
      <c r="G1072" s="8">
        <f t="shared" si="16"/>
        <v>0</v>
      </c>
      <c r="H1072" s="1"/>
    </row>
    <row r="1073" spans="1:8" ht="15.75" customHeight="1">
      <c r="A1073" s="6">
        <v>1069</v>
      </c>
      <c r="B1073" s="11" t="s">
        <v>1009</v>
      </c>
      <c r="C1073" s="11">
        <f xml:space="preserve">     33750</f>
        <v>33750</v>
      </c>
      <c r="D1073" s="11"/>
      <c r="E1073" s="17"/>
      <c r="F1073" s="12"/>
      <c r="G1073" s="8">
        <f t="shared" si="16"/>
        <v>0</v>
      </c>
      <c r="H1073" s="1"/>
    </row>
    <row r="1074" spans="1:8" ht="15.75" customHeight="1">
      <c r="A1074" s="6">
        <v>1070</v>
      </c>
      <c r="B1074" s="11" t="s">
        <v>1010</v>
      </c>
      <c r="C1074" s="11">
        <f xml:space="preserve">     19950</f>
        <v>19950</v>
      </c>
      <c r="D1074" s="11"/>
      <c r="E1074" s="17"/>
      <c r="F1074" s="12"/>
      <c r="G1074" s="8">
        <f t="shared" si="16"/>
        <v>0</v>
      </c>
      <c r="H1074" s="1"/>
    </row>
    <row r="1075" spans="1:8" ht="15.75" customHeight="1">
      <c r="A1075" s="6">
        <v>1071</v>
      </c>
      <c r="B1075" s="11" t="s">
        <v>1011</v>
      </c>
      <c r="C1075" s="11">
        <f xml:space="preserve">     38250</f>
        <v>38250</v>
      </c>
      <c r="D1075" s="11"/>
      <c r="E1075" s="17"/>
      <c r="F1075" s="12"/>
      <c r="G1075" s="8">
        <f t="shared" si="16"/>
        <v>0</v>
      </c>
      <c r="H1075" s="1"/>
    </row>
    <row r="1076" spans="1:8" ht="15.75" customHeight="1">
      <c r="A1076" s="6">
        <v>1072</v>
      </c>
      <c r="B1076" s="11" t="s">
        <v>1012</v>
      </c>
      <c r="C1076" s="11">
        <f xml:space="preserve">     95850</f>
        <v>95850</v>
      </c>
      <c r="D1076" s="11"/>
      <c r="E1076" s="17"/>
      <c r="F1076" s="12"/>
      <c r="G1076" s="8">
        <f t="shared" si="16"/>
        <v>0</v>
      </c>
      <c r="H1076" s="1"/>
    </row>
    <row r="1077" spans="1:8" ht="15.75" customHeight="1">
      <c r="A1077" s="6">
        <v>1073</v>
      </c>
      <c r="B1077" s="11" t="s">
        <v>1013</v>
      </c>
      <c r="C1077" s="11">
        <f xml:space="preserve">    113900</f>
        <v>113900</v>
      </c>
      <c r="D1077" s="11"/>
      <c r="E1077" s="17"/>
      <c r="F1077" s="12"/>
      <c r="G1077" s="8">
        <f t="shared" si="16"/>
        <v>0</v>
      </c>
      <c r="H1077" s="1"/>
    </row>
    <row r="1078" spans="1:8" ht="15.75" customHeight="1">
      <c r="A1078" s="6">
        <v>1074</v>
      </c>
      <c r="B1078" s="11" t="s">
        <v>1014</v>
      </c>
      <c r="C1078" s="11">
        <f xml:space="preserve">     19850</f>
        <v>19850</v>
      </c>
      <c r="D1078" s="11"/>
      <c r="E1078" s="17"/>
      <c r="F1078" s="12"/>
      <c r="G1078" s="8">
        <f t="shared" si="16"/>
        <v>0</v>
      </c>
      <c r="H1078" s="1"/>
    </row>
    <row r="1079" spans="1:8" ht="15.75" customHeight="1">
      <c r="A1079" s="6">
        <v>1075</v>
      </c>
      <c r="B1079" s="11" t="s">
        <v>1015</v>
      </c>
      <c r="C1079" s="11">
        <f xml:space="preserve">      3300</f>
        <v>3300</v>
      </c>
      <c r="D1079" s="11"/>
      <c r="E1079" s="17"/>
      <c r="F1079" s="12"/>
      <c r="G1079" s="8">
        <f t="shared" si="16"/>
        <v>0</v>
      </c>
      <c r="H1079" s="1"/>
    </row>
    <row r="1080" spans="1:8" ht="15.75" customHeight="1">
      <c r="A1080" s="6">
        <v>1076</v>
      </c>
      <c r="B1080" s="11" t="s">
        <v>1015</v>
      </c>
      <c r="C1080" s="11">
        <f xml:space="preserve">      3450</f>
        <v>3450</v>
      </c>
      <c r="D1080" s="11"/>
      <c r="E1080" s="17"/>
      <c r="F1080" s="12"/>
      <c r="G1080" s="8">
        <f t="shared" si="16"/>
        <v>0</v>
      </c>
      <c r="H1080" s="1"/>
    </row>
    <row r="1081" spans="1:8" ht="15.75" customHeight="1">
      <c r="A1081" s="6">
        <v>1077</v>
      </c>
      <c r="B1081" s="11" t="s">
        <v>1016</v>
      </c>
      <c r="C1081" s="11">
        <f xml:space="preserve">      2570</f>
        <v>2570</v>
      </c>
      <c r="D1081" s="11"/>
      <c r="E1081" s="17"/>
      <c r="F1081" s="12"/>
      <c r="G1081" s="8">
        <f t="shared" si="16"/>
        <v>0</v>
      </c>
      <c r="H1081" s="1"/>
    </row>
    <row r="1082" spans="1:8" ht="15.75" customHeight="1">
      <c r="A1082" s="6">
        <v>1078</v>
      </c>
      <c r="B1082" s="11" t="s">
        <v>1017</v>
      </c>
      <c r="C1082" s="11">
        <f xml:space="preserve">      4500</f>
        <v>4500</v>
      </c>
      <c r="D1082" s="11"/>
      <c r="E1082" s="17"/>
      <c r="F1082" s="12"/>
      <c r="G1082" s="8">
        <f t="shared" si="16"/>
        <v>0</v>
      </c>
      <c r="H1082" s="1"/>
    </row>
    <row r="1083" spans="1:8" ht="15.75" customHeight="1">
      <c r="A1083" s="6">
        <v>1079</v>
      </c>
      <c r="B1083" s="11" t="s">
        <v>1018</v>
      </c>
      <c r="C1083" s="11">
        <f xml:space="preserve">      4800</f>
        <v>4800</v>
      </c>
      <c r="D1083" s="11"/>
      <c r="E1083" s="17"/>
      <c r="F1083" s="12"/>
      <c r="G1083" s="8">
        <f t="shared" si="16"/>
        <v>0</v>
      </c>
      <c r="H1083" s="1"/>
    </row>
    <row r="1084" spans="1:8" ht="15.75" customHeight="1">
      <c r="A1084" s="6">
        <v>1080</v>
      </c>
      <c r="B1084" s="11" t="s">
        <v>1019</v>
      </c>
      <c r="C1084" s="11">
        <f xml:space="preserve">    133500</f>
        <v>133500</v>
      </c>
      <c r="D1084" s="11"/>
      <c r="E1084" s="17"/>
      <c r="F1084" s="12"/>
      <c r="G1084" s="8">
        <f t="shared" si="16"/>
        <v>0</v>
      </c>
      <c r="H1084" s="1"/>
    </row>
    <row r="1085" spans="1:8" ht="15.75" customHeight="1">
      <c r="A1085" s="6">
        <v>1081</v>
      </c>
      <c r="B1085" s="11" t="s">
        <v>1020</v>
      </c>
      <c r="C1085" s="11">
        <f xml:space="preserve">     14500</f>
        <v>14500</v>
      </c>
      <c r="D1085" s="11"/>
      <c r="E1085" s="17"/>
      <c r="F1085" s="12"/>
      <c r="G1085" s="8">
        <f t="shared" si="16"/>
        <v>0</v>
      </c>
      <c r="H1085" s="1"/>
    </row>
    <row r="1086" spans="1:8" ht="15.75" customHeight="1">
      <c r="A1086" s="6">
        <v>1082</v>
      </c>
      <c r="B1086" s="11" t="s">
        <v>1021</v>
      </c>
      <c r="C1086" s="11">
        <f xml:space="preserve">     78700</f>
        <v>78700</v>
      </c>
      <c r="D1086" s="11"/>
      <c r="E1086" s="17"/>
      <c r="F1086" s="12"/>
      <c r="G1086" s="8">
        <f t="shared" si="16"/>
        <v>0</v>
      </c>
      <c r="H1086" s="1"/>
    </row>
    <row r="1087" spans="1:8" ht="15.75" customHeight="1">
      <c r="A1087" s="6">
        <v>1083</v>
      </c>
      <c r="B1087" s="11" t="s">
        <v>1022</v>
      </c>
      <c r="C1087" s="11">
        <f xml:space="preserve">     73400</f>
        <v>73400</v>
      </c>
      <c r="D1087" s="11"/>
      <c r="E1087" s="17"/>
      <c r="F1087" s="12"/>
      <c r="G1087" s="8">
        <f t="shared" si="16"/>
        <v>0</v>
      </c>
      <c r="H1087" s="1"/>
    </row>
    <row r="1088" spans="1:8" ht="15.75" customHeight="1">
      <c r="A1088" s="6">
        <v>1084</v>
      </c>
      <c r="B1088" s="11" t="s">
        <v>1023</v>
      </c>
      <c r="C1088" s="11">
        <f xml:space="preserve">    119500</f>
        <v>119500</v>
      </c>
      <c r="D1088" s="11"/>
      <c r="E1088" s="17"/>
      <c r="F1088" s="12"/>
      <c r="G1088" s="8">
        <f t="shared" si="16"/>
        <v>0</v>
      </c>
      <c r="H1088" s="1"/>
    </row>
    <row r="1089" spans="1:8" ht="15.75" customHeight="1">
      <c r="A1089" s="6">
        <v>1085</v>
      </c>
      <c r="B1089" s="11" t="s">
        <v>1024</v>
      </c>
      <c r="C1089" s="11">
        <f xml:space="preserve">    116650</f>
        <v>116650</v>
      </c>
      <c r="D1089" s="11"/>
      <c r="E1089" s="17"/>
      <c r="F1089" s="12"/>
      <c r="G1089" s="8">
        <f t="shared" si="16"/>
        <v>0</v>
      </c>
      <c r="H1089" s="1"/>
    </row>
    <row r="1090" spans="1:8" ht="15.75" customHeight="1">
      <c r="A1090" s="6">
        <v>1086</v>
      </c>
      <c r="B1090" s="11" t="s">
        <v>1025</v>
      </c>
      <c r="C1090" s="11">
        <f xml:space="preserve">    112750</f>
        <v>112750</v>
      </c>
      <c r="D1090" s="11"/>
      <c r="E1090" s="17"/>
      <c r="F1090" s="12"/>
      <c r="G1090" s="8">
        <f t="shared" si="16"/>
        <v>0</v>
      </c>
      <c r="H1090" s="1"/>
    </row>
    <row r="1091" spans="1:8" ht="15.75" customHeight="1">
      <c r="A1091" s="6">
        <v>1087</v>
      </c>
      <c r="B1091" s="11" t="s">
        <v>1026</v>
      </c>
      <c r="C1091" s="11">
        <f xml:space="preserve">     95950</f>
        <v>95950</v>
      </c>
      <c r="D1091" s="11"/>
      <c r="E1091" s="17"/>
      <c r="F1091" s="12"/>
      <c r="G1091" s="8">
        <f t="shared" si="16"/>
        <v>0</v>
      </c>
      <c r="H1091" s="1"/>
    </row>
    <row r="1092" spans="1:8" ht="15.75" customHeight="1">
      <c r="A1092" s="6">
        <v>1088</v>
      </c>
      <c r="B1092" s="11" t="s">
        <v>1027</v>
      </c>
      <c r="C1092" s="11">
        <f xml:space="preserve">     58600</f>
        <v>58600</v>
      </c>
      <c r="D1092" s="11"/>
      <c r="E1092" s="17"/>
      <c r="F1092" s="12"/>
      <c r="G1092" s="8">
        <f t="shared" ref="G1092:G1155" si="17">C1092*D1092+E1092*F1092</f>
        <v>0</v>
      </c>
      <c r="H1092" s="1"/>
    </row>
    <row r="1093" spans="1:8" ht="15.75" customHeight="1">
      <c r="A1093" s="6">
        <v>1089</v>
      </c>
      <c r="B1093" s="11" t="s">
        <v>1028</v>
      </c>
      <c r="C1093" s="11">
        <f xml:space="preserve">     73700</f>
        <v>73700</v>
      </c>
      <c r="D1093" s="11"/>
      <c r="E1093" s="17"/>
      <c r="F1093" s="12"/>
      <c r="G1093" s="8">
        <f t="shared" si="17"/>
        <v>0</v>
      </c>
      <c r="H1093" s="1"/>
    </row>
    <row r="1094" spans="1:8" ht="15.75" customHeight="1">
      <c r="A1094" s="6">
        <v>1090</v>
      </c>
      <c r="B1094" s="11" t="s">
        <v>1029</v>
      </c>
      <c r="C1094" s="11">
        <f xml:space="preserve">     67950</f>
        <v>67950</v>
      </c>
      <c r="D1094" s="11"/>
      <c r="E1094" s="17"/>
      <c r="F1094" s="12"/>
      <c r="G1094" s="8">
        <f t="shared" si="17"/>
        <v>0</v>
      </c>
      <c r="H1094" s="1"/>
    </row>
    <row r="1095" spans="1:8" ht="15.75" customHeight="1">
      <c r="A1095" s="6">
        <v>1091</v>
      </c>
      <c r="B1095" s="11" t="s">
        <v>1030</v>
      </c>
      <c r="C1095" s="11">
        <f xml:space="preserve">     32400</f>
        <v>32400</v>
      </c>
      <c r="D1095" s="11"/>
      <c r="E1095" s="17"/>
      <c r="F1095" s="12"/>
      <c r="G1095" s="8">
        <f t="shared" si="17"/>
        <v>0</v>
      </c>
      <c r="H1095" s="1"/>
    </row>
    <row r="1096" spans="1:8" ht="15.75" customHeight="1">
      <c r="A1096" s="6">
        <v>1092</v>
      </c>
      <c r="B1096" s="11" t="s">
        <v>1031</v>
      </c>
      <c r="C1096" s="11">
        <f xml:space="preserve">     43100</f>
        <v>43100</v>
      </c>
      <c r="D1096" s="11"/>
      <c r="E1096" s="17"/>
      <c r="F1096" s="12"/>
      <c r="G1096" s="8">
        <f t="shared" si="17"/>
        <v>0</v>
      </c>
      <c r="H1096" s="1"/>
    </row>
    <row r="1097" spans="1:8" ht="15.75" customHeight="1">
      <c r="A1097" s="6">
        <v>1093</v>
      </c>
      <c r="B1097" s="11" t="s">
        <v>1032</v>
      </c>
      <c r="C1097" s="11">
        <f xml:space="preserve">    107250</f>
        <v>107250</v>
      </c>
      <c r="D1097" s="11"/>
      <c r="E1097" s="17"/>
      <c r="F1097" s="12"/>
      <c r="G1097" s="8">
        <f t="shared" si="17"/>
        <v>0</v>
      </c>
      <c r="H1097" s="1"/>
    </row>
    <row r="1098" spans="1:8" ht="15.75" customHeight="1">
      <c r="A1098" s="6">
        <v>1094</v>
      </c>
      <c r="B1098" s="11" t="s">
        <v>1033</v>
      </c>
      <c r="C1098" s="11">
        <f xml:space="preserve">     17250</f>
        <v>17250</v>
      </c>
      <c r="D1098" s="11"/>
      <c r="E1098" s="17"/>
      <c r="F1098" s="12"/>
      <c r="G1098" s="8">
        <f t="shared" si="17"/>
        <v>0</v>
      </c>
      <c r="H1098" s="1"/>
    </row>
    <row r="1099" spans="1:8" ht="15.75" customHeight="1">
      <c r="A1099" s="6">
        <v>1095</v>
      </c>
      <c r="B1099" s="11" t="s">
        <v>1034</v>
      </c>
      <c r="C1099" s="11">
        <f xml:space="preserve">     71300</f>
        <v>71300</v>
      </c>
      <c r="D1099" s="11"/>
      <c r="E1099" s="17"/>
      <c r="F1099" s="12"/>
      <c r="G1099" s="8">
        <f t="shared" si="17"/>
        <v>0</v>
      </c>
      <c r="H1099" s="1"/>
    </row>
    <row r="1100" spans="1:8" ht="15.75" customHeight="1">
      <c r="A1100" s="6">
        <v>1096</v>
      </c>
      <c r="B1100" s="11" t="s">
        <v>1035</v>
      </c>
      <c r="C1100" s="11">
        <f xml:space="preserve">     37850</f>
        <v>37850</v>
      </c>
      <c r="D1100" s="11"/>
      <c r="E1100" s="17"/>
      <c r="F1100" s="12"/>
      <c r="G1100" s="8">
        <f t="shared" si="17"/>
        <v>0</v>
      </c>
      <c r="H1100" s="1"/>
    </row>
    <row r="1101" spans="1:8" ht="15.75" customHeight="1">
      <c r="A1101" s="6">
        <v>1097</v>
      </c>
      <c r="B1101" s="11" t="s">
        <v>1036</v>
      </c>
      <c r="C1101" s="11">
        <f xml:space="preserve">     39207</f>
        <v>39207</v>
      </c>
      <c r="D1101" s="11"/>
      <c r="E1101" s="17"/>
      <c r="F1101" s="12"/>
      <c r="G1101" s="8">
        <f t="shared" si="17"/>
        <v>0</v>
      </c>
      <c r="H1101" s="1"/>
    </row>
    <row r="1102" spans="1:8" ht="15.75" customHeight="1">
      <c r="A1102" s="6">
        <v>1098</v>
      </c>
      <c r="B1102" s="11" t="s">
        <v>1037</v>
      </c>
      <c r="C1102" s="11">
        <f xml:space="preserve">     10000</f>
        <v>10000</v>
      </c>
      <c r="D1102" s="11"/>
      <c r="E1102" s="17"/>
      <c r="F1102" s="12"/>
      <c r="G1102" s="8">
        <f t="shared" si="17"/>
        <v>0</v>
      </c>
      <c r="H1102" s="1"/>
    </row>
    <row r="1103" spans="1:8" ht="15.75" customHeight="1">
      <c r="A1103" s="6">
        <v>1099</v>
      </c>
      <c r="B1103" s="11" t="s">
        <v>1038</v>
      </c>
      <c r="C1103" s="11">
        <f xml:space="preserve">     22350</f>
        <v>22350</v>
      </c>
      <c r="D1103" s="11"/>
      <c r="E1103" s="17"/>
      <c r="F1103" s="12"/>
      <c r="G1103" s="8">
        <f t="shared" si="17"/>
        <v>0</v>
      </c>
      <c r="H1103" s="1"/>
    </row>
    <row r="1104" spans="1:8" ht="15.75" customHeight="1">
      <c r="A1104" s="6">
        <v>1100</v>
      </c>
      <c r="B1104" s="11" t="s">
        <v>1039</v>
      </c>
      <c r="C1104" s="11">
        <f xml:space="preserve">     33550</f>
        <v>33550</v>
      </c>
      <c r="D1104" s="11"/>
      <c r="E1104" s="17"/>
      <c r="F1104" s="12"/>
      <c r="G1104" s="8">
        <f t="shared" si="17"/>
        <v>0</v>
      </c>
      <c r="H1104" s="1"/>
    </row>
    <row r="1105" spans="1:8" ht="15.75" customHeight="1">
      <c r="A1105" s="6">
        <v>1101</v>
      </c>
      <c r="B1105" s="11" t="s">
        <v>1040</v>
      </c>
      <c r="C1105" s="11">
        <f xml:space="preserve">     44850</f>
        <v>44850</v>
      </c>
      <c r="D1105" s="11"/>
      <c r="E1105" s="17"/>
      <c r="F1105" s="12"/>
      <c r="G1105" s="8">
        <f t="shared" si="17"/>
        <v>0</v>
      </c>
      <c r="H1105" s="1"/>
    </row>
    <row r="1106" spans="1:8" ht="15.75" customHeight="1">
      <c r="A1106" s="6">
        <v>1102</v>
      </c>
      <c r="B1106" s="11" t="s">
        <v>1041</v>
      </c>
      <c r="C1106" s="11">
        <f xml:space="preserve">     96400</f>
        <v>96400</v>
      </c>
      <c r="D1106" s="11"/>
      <c r="E1106" s="17"/>
      <c r="F1106" s="12"/>
      <c r="G1106" s="8">
        <f t="shared" si="17"/>
        <v>0</v>
      </c>
      <c r="H1106" s="1"/>
    </row>
    <row r="1107" spans="1:8" ht="15.75" customHeight="1">
      <c r="A1107" s="6">
        <v>1103</v>
      </c>
      <c r="B1107" s="11" t="s">
        <v>1042</v>
      </c>
      <c r="C1107" s="11">
        <f xml:space="preserve">     50100</f>
        <v>50100</v>
      </c>
      <c r="D1107" s="11"/>
      <c r="E1107" s="17"/>
      <c r="F1107" s="12"/>
      <c r="G1107" s="8">
        <f t="shared" si="17"/>
        <v>0</v>
      </c>
      <c r="H1107" s="1"/>
    </row>
    <row r="1108" spans="1:8" ht="15.75" customHeight="1">
      <c r="A1108" s="6">
        <v>1104</v>
      </c>
      <c r="B1108" s="11" t="s">
        <v>1043</v>
      </c>
      <c r="C1108" s="11">
        <f xml:space="preserve">     52550</f>
        <v>52550</v>
      </c>
      <c r="D1108" s="11"/>
      <c r="E1108" s="17"/>
      <c r="F1108" s="12"/>
      <c r="G1108" s="8">
        <f t="shared" si="17"/>
        <v>0</v>
      </c>
      <c r="H1108" s="1"/>
    </row>
    <row r="1109" spans="1:8" ht="15.75" customHeight="1">
      <c r="A1109" s="6">
        <v>1105</v>
      </c>
      <c r="B1109" s="11" t="s">
        <v>1044</v>
      </c>
      <c r="C1109" s="11">
        <f xml:space="preserve">    113650</f>
        <v>113650</v>
      </c>
      <c r="D1109" s="11"/>
      <c r="E1109" s="17"/>
      <c r="F1109" s="12"/>
      <c r="G1109" s="8">
        <f t="shared" si="17"/>
        <v>0</v>
      </c>
      <c r="H1109" s="1"/>
    </row>
    <row r="1110" spans="1:8" ht="15.75" customHeight="1">
      <c r="A1110" s="6">
        <v>1106</v>
      </c>
      <c r="B1110" s="11" t="s">
        <v>1045</v>
      </c>
      <c r="C1110" s="11">
        <f xml:space="preserve">    198500</f>
        <v>198500</v>
      </c>
      <c r="D1110" s="11"/>
      <c r="E1110" s="17"/>
      <c r="F1110" s="12"/>
      <c r="G1110" s="8">
        <f t="shared" si="17"/>
        <v>0</v>
      </c>
      <c r="H1110" s="1"/>
    </row>
    <row r="1111" spans="1:8" ht="15.75" customHeight="1">
      <c r="A1111" s="6">
        <v>1107</v>
      </c>
      <c r="B1111" s="11" t="s">
        <v>1046</v>
      </c>
      <c r="C1111" s="11">
        <f xml:space="preserve">    103500</f>
        <v>103500</v>
      </c>
      <c r="D1111" s="11"/>
      <c r="E1111" s="17"/>
      <c r="F1111" s="12"/>
      <c r="G1111" s="8">
        <f t="shared" si="17"/>
        <v>0</v>
      </c>
      <c r="H1111" s="1"/>
    </row>
    <row r="1112" spans="1:8" ht="15.75" customHeight="1">
      <c r="A1112" s="6">
        <v>1108</v>
      </c>
      <c r="B1112" s="11" t="s">
        <v>1047</v>
      </c>
      <c r="C1112" s="11">
        <f xml:space="preserve">     76950</f>
        <v>76950</v>
      </c>
      <c r="D1112" s="11"/>
      <c r="E1112" s="17"/>
      <c r="F1112" s="12"/>
      <c r="G1112" s="8">
        <f t="shared" si="17"/>
        <v>0</v>
      </c>
      <c r="H1112" s="1"/>
    </row>
    <row r="1113" spans="1:8" ht="15.75" customHeight="1">
      <c r="A1113" s="6">
        <v>1109</v>
      </c>
      <c r="B1113" s="11" t="s">
        <v>1048</v>
      </c>
      <c r="C1113" s="11">
        <f xml:space="preserve">    223600</f>
        <v>223600</v>
      </c>
      <c r="D1113" s="11"/>
      <c r="E1113" s="17"/>
      <c r="F1113" s="12"/>
      <c r="G1113" s="8">
        <f t="shared" si="17"/>
        <v>0</v>
      </c>
      <c r="H1113" s="1"/>
    </row>
    <row r="1114" spans="1:8" ht="15.75" customHeight="1">
      <c r="A1114" s="6">
        <v>1110</v>
      </c>
      <c r="B1114" s="11" t="s">
        <v>1049</v>
      </c>
      <c r="C1114" s="11">
        <f xml:space="preserve">    111100</f>
        <v>111100</v>
      </c>
      <c r="D1114" s="11"/>
      <c r="E1114" s="17"/>
      <c r="F1114" s="12"/>
      <c r="G1114" s="8">
        <f t="shared" si="17"/>
        <v>0</v>
      </c>
      <c r="H1114" s="1"/>
    </row>
    <row r="1115" spans="1:8" ht="15.75" customHeight="1">
      <c r="A1115" s="6">
        <v>1111</v>
      </c>
      <c r="B1115" s="11" t="s">
        <v>1050</v>
      </c>
      <c r="C1115" s="11">
        <f xml:space="preserve">     66900</f>
        <v>66900</v>
      </c>
      <c r="D1115" s="11"/>
      <c r="E1115" s="17"/>
      <c r="F1115" s="12"/>
      <c r="G1115" s="8">
        <f t="shared" si="17"/>
        <v>0</v>
      </c>
      <c r="H1115" s="1"/>
    </row>
    <row r="1116" spans="1:8" ht="15.75" customHeight="1">
      <c r="A1116" s="6">
        <v>1112</v>
      </c>
      <c r="B1116" s="11" t="s">
        <v>1051</v>
      </c>
      <c r="C1116" s="11">
        <f xml:space="preserve">     40500</f>
        <v>40500</v>
      </c>
      <c r="D1116" s="11"/>
      <c r="E1116" s="17"/>
      <c r="F1116" s="12"/>
      <c r="G1116" s="8">
        <f t="shared" si="17"/>
        <v>0</v>
      </c>
      <c r="H1116" s="1"/>
    </row>
    <row r="1117" spans="1:8" ht="15.75" customHeight="1">
      <c r="A1117" s="6">
        <v>1113</v>
      </c>
      <c r="B1117" s="11" t="s">
        <v>1052</v>
      </c>
      <c r="C1117" s="11">
        <f xml:space="preserve">    118800</f>
        <v>118800</v>
      </c>
      <c r="D1117" s="11"/>
      <c r="E1117" s="17"/>
      <c r="F1117" s="12"/>
      <c r="G1117" s="8">
        <f t="shared" si="17"/>
        <v>0</v>
      </c>
      <c r="H1117" s="1"/>
    </row>
    <row r="1118" spans="1:8" ht="15.75" customHeight="1">
      <c r="A1118" s="6">
        <v>1114</v>
      </c>
      <c r="B1118" s="11" t="s">
        <v>1052</v>
      </c>
      <c r="C1118" s="11">
        <f xml:space="preserve">    118800</f>
        <v>118800</v>
      </c>
      <c r="D1118" s="11"/>
      <c r="E1118" s="17"/>
      <c r="F1118" s="12"/>
      <c r="G1118" s="8">
        <f t="shared" si="17"/>
        <v>0</v>
      </c>
      <c r="H1118" s="1"/>
    </row>
    <row r="1119" spans="1:8" ht="15.75" customHeight="1">
      <c r="A1119" s="6">
        <v>1115</v>
      </c>
      <c r="B1119" s="11" t="s">
        <v>1053</v>
      </c>
      <c r="C1119" s="11">
        <f xml:space="preserve">    137650</f>
        <v>137650</v>
      </c>
      <c r="D1119" s="11"/>
      <c r="E1119" s="17"/>
      <c r="F1119" s="12"/>
      <c r="G1119" s="8">
        <f t="shared" si="17"/>
        <v>0</v>
      </c>
      <c r="H1119" s="1"/>
    </row>
    <row r="1120" spans="1:8" ht="15.75" customHeight="1">
      <c r="A1120" s="6">
        <v>1116</v>
      </c>
      <c r="B1120" s="11" t="s">
        <v>1054</v>
      </c>
      <c r="C1120" s="11">
        <f xml:space="preserve">     34100</f>
        <v>34100</v>
      </c>
      <c r="D1120" s="11"/>
      <c r="E1120" s="17"/>
      <c r="F1120" s="12"/>
      <c r="G1120" s="8">
        <f t="shared" si="17"/>
        <v>0</v>
      </c>
      <c r="H1120" s="1"/>
    </row>
    <row r="1121" spans="1:8" ht="15.75" customHeight="1">
      <c r="A1121" s="6">
        <v>1117</v>
      </c>
      <c r="B1121" s="11" t="s">
        <v>1055</v>
      </c>
      <c r="C1121" s="11">
        <f xml:space="preserve">     47300</f>
        <v>47300</v>
      </c>
      <c r="D1121" s="11"/>
      <c r="E1121" s="17"/>
      <c r="F1121" s="12"/>
      <c r="G1121" s="8">
        <f t="shared" si="17"/>
        <v>0</v>
      </c>
      <c r="H1121" s="1"/>
    </row>
    <row r="1122" spans="1:8" ht="15.75" customHeight="1">
      <c r="A1122" s="6">
        <v>1118</v>
      </c>
      <c r="B1122" s="11" t="s">
        <v>1056</v>
      </c>
      <c r="C1122" s="11">
        <f xml:space="preserve">     65400</f>
        <v>65400</v>
      </c>
      <c r="D1122" s="11"/>
      <c r="E1122" s="17"/>
      <c r="F1122" s="12"/>
      <c r="G1122" s="8">
        <f t="shared" si="17"/>
        <v>0</v>
      </c>
      <c r="H1122" s="1"/>
    </row>
    <row r="1123" spans="1:8" ht="15.75" customHeight="1">
      <c r="A1123" s="6">
        <v>1119</v>
      </c>
      <c r="B1123" s="11" t="s">
        <v>1057</v>
      </c>
      <c r="C1123" s="11">
        <f xml:space="preserve">    185700</f>
        <v>185700</v>
      </c>
      <c r="D1123" s="11"/>
      <c r="E1123" s="17"/>
      <c r="F1123" s="12"/>
      <c r="G1123" s="8">
        <f t="shared" si="17"/>
        <v>0</v>
      </c>
      <c r="H1123" s="1"/>
    </row>
    <row r="1124" spans="1:8" ht="15.75" customHeight="1">
      <c r="A1124" s="6">
        <v>1120</v>
      </c>
      <c r="B1124" s="11" t="s">
        <v>1058</v>
      </c>
      <c r="C1124" s="11">
        <f xml:space="preserve">    194500</f>
        <v>194500</v>
      </c>
      <c r="D1124" s="11"/>
      <c r="E1124" s="17"/>
      <c r="F1124" s="12"/>
      <c r="G1124" s="8">
        <f t="shared" si="17"/>
        <v>0</v>
      </c>
      <c r="H1124" s="1"/>
    </row>
    <row r="1125" spans="1:8" ht="15.75" customHeight="1">
      <c r="A1125" s="6">
        <v>1121</v>
      </c>
      <c r="B1125" s="11" t="s">
        <v>1059</v>
      </c>
      <c r="C1125" s="11">
        <f xml:space="preserve">      3800</f>
        <v>3800</v>
      </c>
      <c r="D1125" s="11"/>
      <c r="E1125" s="17"/>
      <c r="F1125" s="12"/>
      <c r="G1125" s="8">
        <f t="shared" si="17"/>
        <v>0</v>
      </c>
      <c r="H1125" s="1"/>
    </row>
    <row r="1126" spans="1:8" ht="15.75" customHeight="1">
      <c r="A1126" s="6">
        <v>1122</v>
      </c>
      <c r="B1126" s="11" t="s">
        <v>1059</v>
      </c>
      <c r="C1126" s="11">
        <f xml:space="preserve">      3800</f>
        <v>3800</v>
      </c>
      <c r="D1126" s="11"/>
      <c r="E1126" s="17"/>
      <c r="F1126" s="12"/>
      <c r="G1126" s="8">
        <f t="shared" si="17"/>
        <v>0</v>
      </c>
      <c r="H1126" s="1"/>
    </row>
    <row r="1127" spans="1:8" ht="15.75" customHeight="1">
      <c r="A1127" s="6">
        <v>1123</v>
      </c>
      <c r="B1127" s="11" t="s">
        <v>1060</v>
      </c>
      <c r="C1127" s="11">
        <f xml:space="preserve">     12250</f>
        <v>12250</v>
      </c>
      <c r="D1127" s="11"/>
      <c r="E1127" s="17"/>
      <c r="F1127" s="12"/>
      <c r="G1127" s="8">
        <f t="shared" si="17"/>
        <v>0</v>
      </c>
      <c r="H1127" s="1"/>
    </row>
    <row r="1128" spans="1:8" ht="15.75" customHeight="1">
      <c r="A1128" s="6">
        <v>1124</v>
      </c>
      <c r="B1128" s="11" t="s">
        <v>1061</v>
      </c>
      <c r="C1128" s="11">
        <f xml:space="preserve">     56600</f>
        <v>56600</v>
      </c>
      <c r="D1128" s="11"/>
      <c r="E1128" s="17"/>
      <c r="F1128" s="12"/>
      <c r="G1128" s="8">
        <f t="shared" si="17"/>
        <v>0</v>
      </c>
      <c r="H1128" s="1"/>
    </row>
    <row r="1129" spans="1:8" ht="15.75" customHeight="1">
      <c r="A1129" s="6">
        <v>1125</v>
      </c>
      <c r="B1129" s="11" t="s">
        <v>1062</v>
      </c>
      <c r="C1129" s="11">
        <f xml:space="preserve">     44650</f>
        <v>44650</v>
      </c>
      <c r="D1129" s="11"/>
      <c r="E1129" s="17"/>
      <c r="F1129" s="12"/>
      <c r="G1129" s="8">
        <f t="shared" si="17"/>
        <v>0</v>
      </c>
      <c r="H1129" s="1"/>
    </row>
    <row r="1130" spans="1:8" ht="15.75" customHeight="1">
      <c r="A1130" s="6">
        <v>1126</v>
      </c>
      <c r="B1130" s="11" t="s">
        <v>1063</v>
      </c>
      <c r="C1130" s="11">
        <f xml:space="preserve">     49700</f>
        <v>49700</v>
      </c>
      <c r="D1130" s="11"/>
      <c r="E1130" s="17"/>
      <c r="F1130" s="12"/>
      <c r="G1130" s="8">
        <f t="shared" si="17"/>
        <v>0</v>
      </c>
      <c r="H1130" s="1"/>
    </row>
    <row r="1131" spans="1:8" ht="15.75" customHeight="1">
      <c r="A1131" s="6">
        <v>1127</v>
      </c>
      <c r="B1131" s="11" t="s">
        <v>1064</v>
      </c>
      <c r="C1131" s="11">
        <f xml:space="preserve">     50100</f>
        <v>50100</v>
      </c>
      <c r="D1131" s="11"/>
      <c r="E1131" s="17"/>
      <c r="F1131" s="12"/>
      <c r="G1131" s="8">
        <f t="shared" si="17"/>
        <v>0</v>
      </c>
      <c r="H1131" s="1"/>
    </row>
    <row r="1132" spans="1:8" ht="15.75" customHeight="1">
      <c r="A1132" s="6">
        <v>1128</v>
      </c>
      <c r="B1132" s="11" t="s">
        <v>1065</v>
      </c>
      <c r="C1132" s="11">
        <f xml:space="preserve">     65750</f>
        <v>65750</v>
      </c>
      <c r="D1132" s="11"/>
      <c r="E1132" s="17"/>
      <c r="F1132" s="12"/>
      <c r="G1132" s="8">
        <f t="shared" si="17"/>
        <v>0</v>
      </c>
      <c r="H1132" s="1"/>
    </row>
    <row r="1133" spans="1:8" ht="15.75" customHeight="1">
      <c r="A1133" s="6">
        <v>1129</v>
      </c>
      <c r="B1133" s="11" t="s">
        <v>1066</v>
      </c>
      <c r="C1133" s="11">
        <f xml:space="preserve">     89700</f>
        <v>89700</v>
      </c>
      <c r="D1133" s="11"/>
      <c r="E1133" s="17"/>
      <c r="F1133" s="12"/>
      <c r="G1133" s="8">
        <f t="shared" si="17"/>
        <v>0</v>
      </c>
      <c r="H1133" s="1"/>
    </row>
    <row r="1134" spans="1:8" ht="15.75" customHeight="1">
      <c r="A1134" s="6">
        <v>1130</v>
      </c>
      <c r="B1134" s="11" t="s">
        <v>1067</v>
      </c>
      <c r="C1134" s="11">
        <f xml:space="preserve">    111350</f>
        <v>111350</v>
      </c>
      <c r="D1134" s="11"/>
      <c r="E1134" s="17"/>
      <c r="F1134" s="12"/>
      <c r="G1134" s="8">
        <f t="shared" si="17"/>
        <v>0</v>
      </c>
      <c r="H1134" s="1"/>
    </row>
    <row r="1135" spans="1:8" ht="15.75" customHeight="1">
      <c r="A1135" s="6">
        <v>1131</v>
      </c>
      <c r="B1135" s="11" t="s">
        <v>1068</v>
      </c>
      <c r="C1135" s="11">
        <f xml:space="preserve">     20900</f>
        <v>20900</v>
      </c>
      <c r="D1135" s="11"/>
      <c r="E1135" s="17"/>
      <c r="F1135" s="12"/>
      <c r="G1135" s="8">
        <f t="shared" si="17"/>
        <v>0</v>
      </c>
      <c r="H1135" s="1"/>
    </row>
    <row r="1136" spans="1:8" ht="15.75" customHeight="1">
      <c r="A1136" s="6">
        <v>1132</v>
      </c>
      <c r="B1136" s="11" t="s">
        <v>1069</v>
      </c>
      <c r="C1136" s="11">
        <f xml:space="preserve">      4400</f>
        <v>4400</v>
      </c>
      <c r="D1136" s="11"/>
      <c r="E1136" s="17"/>
      <c r="F1136" s="12"/>
      <c r="G1136" s="8">
        <f t="shared" si="17"/>
        <v>0</v>
      </c>
      <c r="H1136" s="1"/>
    </row>
    <row r="1137" spans="1:8" ht="15.75" customHeight="1">
      <c r="A1137" s="6">
        <v>1133</v>
      </c>
      <c r="B1137" s="11" t="s">
        <v>1070</v>
      </c>
      <c r="C1137" s="11">
        <f xml:space="preserve">      4400</f>
        <v>4400</v>
      </c>
      <c r="D1137" s="11"/>
      <c r="E1137" s="17"/>
      <c r="F1137" s="12"/>
      <c r="G1137" s="8">
        <f t="shared" si="17"/>
        <v>0</v>
      </c>
      <c r="H1137" s="1"/>
    </row>
    <row r="1138" spans="1:8" ht="15.75" customHeight="1">
      <c r="A1138" s="6">
        <v>1134</v>
      </c>
      <c r="B1138" s="11" t="s">
        <v>1071</v>
      </c>
      <c r="C1138" s="11">
        <f xml:space="preserve">      4800</f>
        <v>4800</v>
      </c>
      <c r="D1138" s="11"/>
      <c r="E1138" s="17"/>
      <c r="F1138" s="12"/>
      <c r="G1138" s="8">
        <f t="shared" si="17"/>
        <v>0</v>
      </c>
      <c r="H1138" s="1"/>
    </row>
    <row r="1139" spans="1:8" ht="15.75" customHeight="1">
      <c r="A1139" s="6">
        <v>1135</v>
      </c>
      <c r="B1139" s="11" t="s">
        <v>1072</v>
      </c>
      <c r="C1139" s="11">
        <f xml:space="preserve">     15950</f>
        <v>15950</v>
      </c>
      <c r="D1139" s="11"/>
      <c r="E1139" s="17"/>
      <c r="F1139" s="12"/>
      <c r="G1139" s="8">
        <f t="shared" si="17"/>
        <v>0</v>
      </c>
      <c r="H1139" s="1"/>
    </row>
    <row r="1140" spans="1:8" ht="15.75" customHeight="1">
      <c r="A1140" s="6">
        <v>1136</v>
      </c>
      <c r="B1140" s="11" t="s">
        <v>1073</v>
      </c>
      <c r="C1140" s="11">
        <f xml:space="preserve">     44800</f>
        <v>44800</v>
      </c>
      <c r="D1140" s="11"/>
      <c r="E1140" s="17"/>
      <c r="F1140" s="12"/>
      <c r="G1140" s="8">
        <f t="shared" si="17"/>
        <v>0</v>
      </c>
      <c r="H1140" s="1"/>
    </row>
    <row r="1141" spans="1:8" ht="15.75" customHeight="1">
      <c r="A1141" s="6">
        <v>1137</v>
      </c>
      <c r="B1141" s="11" t="s">
        <v>1074</v>
      </c>
      <c r="C1141" s="11">
        <f xml:space="preserve">     91800</f>
        <v>91800</v>
      </c>
      <c r="D1141" s="11"/>
      <c r="E1141" s="17"/>
      <c r="F1141" s="12"/>
      <c r="G1141" s="8">
        <f t="shared" si="17"/>
        <v>0</v>
      </c>
      <c r="H1141" s="1"/>
    </row>
    <row r="1142" spans="1:8" ht="15.75" customHeight="1">
      <c r="A1142" s="6">
        <v>1138</v>
      </c>
      <c r="B1142" s="11" t="s">
        <v>1075</v>
      </c>
      <c r="C1142" s="11">
        <f xml:space="preserve">     33800</f>
        <v>33800</v>
      </c>
      <c r="D1142" s="11"/>
      <c r="E1142" s="17"/>
      <c r="F1142" s="12"/>
      <c r="G1142" s="8">
        <f t="shared" si="17"/>
        <v>0</v>
      </c>
      <c r="H1142" s="1"/>
    </row>
    <row r="1143" spans="1:8" ht="15.75" customHeight="1">
      <c r="A1143" s="6">
        <v>1139</v>
      </c>
      <c r="B1143" s="11" t="s">
        <v>1076</v>
      </c>
      <c r="C1143" s="11">
        <f xml:space="preserve">     18100</f>
        <v>18100</v>
      </c>
      <c r="D1143" s="11"/>
      <c r="E1143" s="17"/>
      <c r="F1143" s="12"/>
      <c r="G1143" s="8">
        <f t="shared" si="17"/>
        <v>0</v>
      </c>
      <c r="H1143" s="1"/>
    </row>
    <row r="1144" spans="1:8" ht="15.75" customHeight="1">
      <c r="A1144" s="6">
        <v>1140</v>
      </c>
      <c r="B1144" s="11" t="s">
        <v>1077</v>
      </c>
      <c r="C1144" s="11">
        <f xml:space="preserve">     27850</f>
        <v>27850</v>
      </c>
      <c r="D1144" s="11"/>
      <c r="E1144" s="17"/>
      <c r="F1144" s="12"/>
      <c r="G1144" s="8">
        <f t="shared" si="17"/>
        <v>0</v>
      </c>
      <c r="H1144" s="1"/>
    </row>
    <row r="1145" spans="1:8" ht="15.75" customHeight="1">
      <c r="A1145" s="6">
        <v>1141</v>
      </c>
      <c r="B1145" s="11" t="s">
        <v>1078</v>
      </c>
      <c r="C1145" s="11">
        <f xml:space="preserve">     43500</f>
        <v>43500</v>
      </c>
      <c r="D1145" s="11"/>
      <c r="E1145" s="17"/>
      <c r="F1145" s="12"/>
      <c r="G1145" s="8">
        <f t="shared" si="17"/>
        <v>0</v>
      </c>
      <c r="H1145" s="1"/>
    </row>
    <row r="1146" spans="1:8" ht="15.75" customHeight="1">
      <c r="A1146" s="6">
        <v>1142</v>
      </c>
      <c r="B1146" s="11" t="s">
        <v>1079</v>
      </c>
      <c r="C1146" s="11">
        <f xml:space="preserve">     12100</f>
        <v>12100</v>
      </c>
      <c r="D1146" s="11"/>
      <c r="E1146" s="17"/>
      <c r="F1146" s="12"/>
      <c r="G1146" s="8">
        <f t="shared" si="17"/>
        <v>0</v>
      </c>
      <c r="H1146" s="1"/>
    </row>
    <row r="1147" spans="1:8" ht="15.75" customHeight="1">
      <c r="A1147" s="6">
        <v>1143</v>
      </c>
      <c r="B1147" s="11" t="s">
        <v>1080</v>
      </c>
      <c r="C1147" s="11">
        <f xml:space="preserve">     60000</f>
        <v>60000</v>
      </c>
      <c r="D1147" s="11"/>
      <c r="E1147" s="17"/>
      <c r="F1147" s="12"/>
      <c r="G1147" s="8">
        <f t="shared" si="17"/>
        <v>0</v>
      </c>
      <c r="H1147" s="1"/>
    </row>
    <row r="1148" spans="1:8" ht="15.75" customHeight="1">
      <c r="A1148" s="6">
        <v>1144</v>
      </c>
      <c r="B1148" s="11" t="s">
        <v>1081</v>
      </c>
      <c r="C1148" s="11">
        <f xml:space="preserve">     43950</f>
        <v>43950</v>
      </c>
      <c r="D1148" s="11"/>
      <c r="E1148" s="17"/>
      <c r="F1148" s="12"/>
      <c r="G1148" s="8">
        <f t="shared" si="17"/>
        <v>0</v>
      </c>
      <c r="H1148" s="1"/>
    </row>
    <row r="1149" spans="1:8" ht="15.75" customHeight="1">
      <c r="A1149" s="6">
        <v>1145</v>
      </c>
      <c r="B1149" s="11" t="s">
        <v>1082</v>
      </c>
      <c r="C1149" s="11">
        <f xml:space="preserve">     15550</f>
        <v>15550</v>
      </c>
      <c r="D1149" s="11"/>
      <c r="E1149" s="17"/>
      <c r="F1149" s="12"/>
      <c r="G1149" s="8">
        <f t="shared" si="17"/>
        <v>0</v>
      </c>
      <c r="H1149" s="1"/>
    </row>
    <row r="1150" spans="1:8" ht="15.75" customHeight="1">
      <c r="A1150" s="6">
        <v>1146</v>
      </c>
      <c r="B1150" s="11" t="s">
        <v>1083</v>
      </c>
      <c r="C1150" s="11">
        <f xml:space="preserve">     60000</f>
        <v>60000</v>
      </c>
      <c r="D1150" s="11"/>
      <c r="E1150" s="17"/>
      <c r="F1150" s="12"/>
      <c r="G1150" s="8">
        <f t="shared" si="17"/>
        <v>0</v>
      </c>
      <c r="H1150" s="1"/>
    </row>
    <row r="1151" spans="1:8" ht="15.75" customHeight="1">
      <c r="A1151" s="6">
        <v>1147</v>
      </c>
      <c r="B1151" s="11" t="s">
        <v>1084</v>
      </c>
      <c r="C1151" s="11">
        <f xml:space="preserve">     33550</f>
        <v>33550</v>
      </c>
      <c r="D1151" s="11"/>
      <c r="E1151" s="17"/>
      <c r="F1151" s="12"/>
      <c r="G1151" s="8">
        <f t="shared" si="17"/>
        <v>0</v>
      </c>
      <c r="H1151" s="1"/>
    </row>
    <row r="1152" spans="1:8" ht="15.75" customHeight="1">
      <c r="A1152" s="6">
        <v>1148</v>
      </c>
      <c r="B1152" s="11" t="s">
        <v>1085</v>
      </c>
      <c r="C1152" s="11">
        <f xml:space="preserve">     49500</f>
        <v>49500</v>
      </c>
      <c r="D1152" s="11"/>
      <c r="E1152" s="17"/>
      <c r="F1152" s="12"/>
      <c r="G1152" s="8">
        <f t="shared" si="17"/>
        <v>0</v>
      </c>
      <c r="H1152" s="1"/>
    </row>
    <row r="1153" spans="1:8" ht="15.75" customHeight="1">
      <c r="A1153" s="6">
        <v>1149</v>
      </c>
      <c r="B1153" s="11" t="s">
        <v>1086</v>
      </c>
      <c r="C1153" s="11">
        <f xml:space="preserve">     29700</f>
        <v>29700</v>
      </c>
      <c r="D1153" s="11"/>
      <c r="E1153" s="17"/>
      <c r="F1153" s="12"/>
      <c r="G1153" s="8">
        <f t="shared" si="17"/>
        <v>0</v>
      </c>
      <c r="H1153" s="1"/>
    </row>
    <row r="1154" spans="1:8" ht="15.75" customHeight="1">
      <c r="A1154" s="6">
        <v>1150</v>
      </c>
      <c r="B1154" s="11" t="s">
        <v>1087</v>
      </c>
      <c r="C1154" s="11">
        <f xml:space="preserve">     21900</f>
        <v>21900</v>
      </c>
      <c r="D1154" s="11"/>
      <c r="E1154" s="17"/>
      <c r="F1154" s="12"/>
      <c r="G1154" s="8">
        <f t="shared" si="17"/>
        <v>0</v>
      </c>
      <c r="H1154" s="1"/>
    </row>
    <row r="1155" spans="1:8" ht="15.75" customHeight="1">
      <c r="A1155" s="6">
        <v>1151</v>
      </c>
      <c r="B1155" s="11" t="s">
        <v>1088</v>
      </c>
      <c r="C1155" s="11">
        <f xml:space="preserve">     29850</f>
        <v>29850</v>
      </c>
      <c r="D1155" s="11"/>
      <c r="E1155" s="17"/>
      <c r="F1155" s="12"/>
      <c r="G1155" s="8">
        <f t="shared" si="17"/>
        <v>0</v>
      </c>
      <c r="H1155" s="1"/>
    </row>
    <row r="1156" spans="1:8" ht="15.75" customHeight="1">
      <c r="A1156" s="6">
        <v>1152</v>
      </c>
      <c r="B1156" s="11" t="s">
        <v>1089</v>
      </c>
      <c r="C1156" s="11">
        <f xml:space="preserve">     44800</f>
        <v>44800</v>
      </c>
      <c r="D1156" s="11"/>
      <c r="E1156" s="17"/>
      <c r="F1156" s="12"/>
      <c r="G1156" s="8">
        <f t="shared" ref="G1156:G1219" si="18">C1156*D1156+E1156*F1156</f>
        <v>0</v>
      </c>
      <c r="H1156" s="1"/>
    </row>
    <row r="1157" spans="1:8" ht="15.75" customHeight="1">
      <c r="A1157" s="6">
        <v>1153</v>
      </c>
      <c r="B1157" s="11" t="s">
        <v>1090</v>
      </c>
      <c r="C1157" s="11">
        <f xml:space="preserve">     67100</f>
        <v>67100</v>
      </c>
      <c r="D1157" s="11"/>
      <c r="E1157" s="17"/>
      <c r="F1157" s="12"/>
      <c r="G1157" s="8">
        <f t="shared" si="18"/>
        <v>0</v>
      </c>
      <c r="H1157" s="1"/>
    </row>
    <row r="1158" spans="1:8" ht="15.75" customHeight="1">
      <c r="A1158" s="6">
        <v>1154</v>
      </c>
      <c r="B1158" s="11" t="s">
        <v>1091</v>
      </c>
      <c r="C1158" s="11">
        <f xml:space="preserve">     48100</f>
        <v>48100</v>
      </c>
      <c r="D1158" s="11"/>
      <c r="E1158" s="17"/>
      <c r="F1158" s="12"/>
      <c r="G1158" s="8">
        <f t="shared" si="18"/>
        <v>0</v>
      </c>
      <c r="H1158" s="1"/>
    </row>
    <row r="1159" spans="1:8" ht="15.75" customHeight="1">
      <c r="A1159" s="6">
        <v>1155</v>
      </c>
      <c r="B1159" s="11" t="s">
        <v>1092</v>
      </c>
      <c r="C1159" s="11">
        <f xml:space="preserve">     20100</f>
        <v>20100</v>
      </c>
      <c r="D1159" s="11"/>
      <c r="E1159" s="17"/>
      <c r="F1159" s="12"/>
      <c r="G1159" s="8">
        <f t="shared" si="18"/>
        <v>0</v>
      </c>
      <c r="H1159" s="1"/>
    </row>
    <row r="1160" spans="1:8" ht="15.75" customHeight="1">
      <c r="A1160" s="6">
        <v>1156</v>
      </c>
      <c r="B1160" s="11" t="s">
        <v>1093</v>
      </c>
      <c r="C1160" s="11">
        <f xml:space="preserve">     55100</f>
        <v>55100</v>
      </c>
      <c r="D1160" s="11"/>
      <c r="E1160" s="17"/>
      <c r="F1160" s="12"/>
      <c r="G1160" s="8">
        <f t="shared" si="18"/>
        <v>0</v>
      </c>
      <c r="H1160" s="1"/>
    </row>
    <row r="1161" spans="1:8" ht="15.75" customHeight="1">
      <c r="A1161" s="6">
        <v>1157</v>
      </c>
      <c r="B1161" s="11" t="s">
        <v>1094</v>
      </c>
      <c r="C1161" s="11">
        <f xml:space="preserve">    122100</f>
        <v>122100</v>
      </c>
      <c r="D1161" s="11"/>
      <c r="E1161" s="17"/>
      <c r="F1161" s="12"/>
      <c r="G1161" s="8">
        <f t="shared" si="18"/>
        <v>0</v>
      </c>
      <c r="H1161" s="1"/>
    </row>
    <row r="1162" spans="1:8" ht="15.75" customHeight="1">
      <c r="A1162" s="6">
        <v>1158</v>
      </c>
      <c r="B1162" s="11" t="s">
        <v>1095</v>
      </c>
      <c r="C1162" s="11">
        <f xml:space="preserve">     61500</f>
        <v>61500</v>
      </c>
      <c r="D1162" s="11"/>
      <c r="E1162" s="17"/>
      <c r="F1162" s="12"/>
      <c r="G1162" s="8">
        <f t="shared" si="18"/>
        <v>0</v>
      </c>
      <c r="H1162" s="1"/>
    </row>
    <row r="1163" spans="1:8" ht="15.75" customHeight="1">
      <c r="A1163" s="6">
        <v>1159</v>
      </c>
      <c r="B1163" s="11" t="s">
        <v>1096</v>
      </c>
      <c r="C1163" s="11">
        <f xml:space="preserve">     35200</f>
        <v>35200</v>
      </c>
      <c r="D1163" s="11"/>
      <c r="E1163" s="17"/>
      <c r="F1163" s="12"/>
      <c r="G1163" s="8">
        <f t="shared" si="18"/>
        <v>0</v>
      </c>
      <c r="H1163" s="1"/>
    </row>
    <row r="1164" spans="1:8" ht="15.75" customHeight="1">
      <c r="A1164" s="6">
        <v>1160</v>
      </c>
      <c r="B1164" s="11" t="s">
        <v>1097</v>
      </c>
      <c r="C1164" s="11">
        <f xml:space="preserve">     19500</f>
        <v>19500</v>
      </c>
      <c r="D1164" s="11"/>
      <c r="E1164" s="17"/>
      <c r="F1164" s="12"/>
      <c r="G1164" s="8">
        <f t="shared" si="18"/>
        <v>0</v>
      </c>
      <c r="H1164" s="1"/>
    </row>
    <row r="1165" spans="1:8" ht="15.75" customHeight="1">
      <c r="A1165" s="6">
        <v>1161</v>
      </c>
      <c r="B1165" s="11" t="s">
        <v>1098</v>
      </c>
      <c r="C1165" s="11">
        <f xml:space="preserve">     55000</f>
        <v>55000</v>
      </c>
      <c r="D1165" s="11"/>
      <c r="E1165" s="17"/>
      <c r="F1165" s="12"/>
      <c r="G1165" s="8">
        <f t="shared" si="18"/>
        <v>0</v>
      </c>
      <c r="H1165" s="1"/>
    </row>
    <row r="1166" spans="1:8" ht="15.75" customHeight="1">
      <c r="A1166" s="6">
        <v>1162</v>
      </c>
      <c r="B1166" s="11" t="s">
        <v>1099</v>
      </c>
      <c r="C1166" s="11">
        <f xml:space="preserve">     25000</f>
        <v>25000</v>
      </c>
      <c r="D1166" s="11"/>
      <c r="E1166" s="17"/>
      <c r="F1166" s="12"/>
      <c r="G1166" s="8">
        <f t="shared" si="18"/>
        <v>0</v>
      </c>
      <c r="H1166" s="1"/>
    </row>
    <row r="1167" spans="1:8" ht="15.75" customHeight="1">
      <c r="A1167" s="6">
        <v>1163</v>
      </c>
      <c r="B1167" s="11" t="s">
        <v>1100</v>
      </c>
      <c r="C1167" s="11">
        <f xml:space="preserve">     64650</f>
        <v>64650</v>
      </c>
      <c r="D1167" s="11"/>
      <c r="E1167" s="17"/>
      <c r="F1167" s="12"/>
      <c r="G1167" s="8">
        <f t="shared" si="18"/>
        <v>0</v>
      </c>
      <c r="H1167" s="1"/>
    </row>
    <row r="1168" spans="1:8" ht="15.75" customHeight="1">
      <c r="A1168" s="6">
        <v>1164</v>
      </c>
      <c r="B1168" s="11" t="s">
        <v>1101</v>
      </c>
      <c r="C1168" s="11">
        <f xml:space="preserve">     46200</f>
        <v>46200</v>
      </c>
      <c r="D1168" s="11"/>
      <c r="E1168" s="17"/>
      <c r="F1168" s="12"/>
      <c r="G1168" s="8">
        <f t="shared" si="18"/>
        <v>0</v>
      </c>
      <c r="H1168" s="1"/>
    </row>
    <row r="1169" spans="1:8" ht="15.75" customHeight="1">
      <c r="A1169" s="6">
        <v>1165</v>
      </c>
      <c r="B1169" s="11" t="s">
        <v>1102</v>
      </c>
      <c r="C1169" s="11">
        <f xml:space="preserve">     31650</f>
        <v>31650</v>
      </c>
      <c r="D1169" s="11"/>
      <c r="E1169" s="17"/>
      <c r="F1169" s="12"/>
      <c r="G1169" s="8">
        <f t="shared" si="18"/>
        <v>0</v>
      </c>
      <c r="H1169" s="1"/>
    </row>
    <row r="1170" spans="1:8" ht="15.75" customHeight="1">
      <c r="A1170" s="6">
        <v>1166</v>
      </c>
      <c r="B1170" s="11" t="s">
        <v>1103</v>
      </c>
      <c r="C1170" s="11">
        <f xml:space="preserve">     91650</f>
        <v>91650</v>
      </c>
      <c r="D1170" s="11"/>
      <c r="E1170" s="17"/>
      <c r="F1170" s="12"/>
      <c r="G1170" s="8">
        <f t="shared" si="18"/>
        <v>0</v>
      </c>
      <c r="H1170" s="1"/>
    </row>
    <row r="1171" spans="1:8" ht="15.75" customHeight="1">
      <c r="A1171" s="6">
        <v>1167</v>
      </c>
      <c r="B1171" s="11" t="s">
        <v>1104</v>
      </c>
      <c r="C1171" s="11">
        <f xml:space="preserve">     33200</f>
        <v>33200</v>
      </c>
      <c r="D1171" s="11"/>
      <c r="E1171" s="17"/>
      <c r="F1171" s="12"/>
      <c r="G1171" s="8">
        <f t="shared" si="18"/>
        <v>0</v>
      </c>
      <c r="H1171" s="1"/>
    </row>
    <row r="1172" spans="1:8" ht="15.75" customHeight="1">
      <c r="A1172" s="6">
        <v>1168</v>
      </c>
      <c r="B1172" s="11" t="s">
        <v>1105</v>
      </c>
      <c r="C1172" s="11">
        <f xml:space="preserve">      5700</f>
        <v>5700</v>
      </c>
      <c r="D1172" s="11"/>
      <c r="E1172" s="17"/>
      <c r="F1172" s="12"/>
      <c r="G1172" s="8">
        <f t="shared" si="18"/>
        <v>0</v>
      </c>
      <c r="H1172" s="1"/>
    </row>
    <row r="1173" spans="1:8" ht="15.75" customHeight="1">
      <c r="A1173" s="6">
        <v>1169</v>
      </c>
      <c r="B1173" s="11" t="s">
        <v>1106</v>
      </c>
      <c r="C1173" s="11">
        <f xml:space="preserve">      4000</f>
        <v>4000</v>
      </c>
      <c r="D1173" s="11"/>
      <c r="E1173" s="17"/>
      <c r="F1173" s="12"/>
      <c r="G1173" s="8">
        <f t="shared" si="18"/>
        <v>0</v>
      </c>
      <c r="H1173" s="1"/>
    </row>
    <row r="1174" spans="1:8" ht="15.75" customHeight="1">
      <c r="A1174" s="6">
        <v>1170</v>
      </c>
      <c r="B1174" s="11" t="s">
        <v>1107</v>
      </c>
      <c r="C1174" s="11">
        <f xml:space="preserve">      3425</f>
        <v>3425</v>
      </c>
      <c r="D1174" s="11"/>
      <c r="E1174" s="17"/>
      <c r="F1174" s="12"/>
      <c r="G1174" s="8">
        <f t="shared" si="18"/>
        <v>0</v>
      </c>
      <c r="H1174" s="1"/>
    </row>
    <row r="1175" spans="1:8" ht="15.75" customHeight="1">
      <c r="A1175" s="6">
        <v>1171</v>
      </c>
      <c r="B1175" s="11" t="s">
        <v>1108</v>
      </c>
      <c r="C1175" s="11">
        <f xml:space="preserve">     38150</f>
        <v>38150</v>
      </c>
      <c r="D1175" s="11"/>
      <c r="E1175" s="17"/>
      <c r="F1175" s="12"/>
      <c r="G1175" s="8">
        <f t="shared" si="18"/>
        <v>0</v>
      </c>
      <c r="H1175" s="1"/>
    </row>
    <row r="1176" spans="1:8" ht="15.75" customHeight="1">
      <c r="A1176" s="6">
        <v>1172</v>
      </c>
      <c r="B1176" s="11" t="s">
        <v>1109</v>
      </c>
      <c r="C1176" s="11">
        <f xml:space="preserve">     12950</f>
        <v>12950</v>
      </c>
      <c r="D1176" s="11"/>
      <c r="E1176" s="17"/>
      <c r="F1176" s="12"/>
      <c r="G1176" s="8">
        <f t="shared" si="18"/>
        <v>0</v>
      </c>
      <c r="H1176" s="1"/>
    </row>
    <row r="1177" spans="1:8" ht="15.75" customHeight="1">
      <c r="A1177" s="6">
        <v>1173</v>
      </c>
      <c r="B1177" s="11" t="s">
        <v>1110</v>
      </c>
      <c r="C1177" s="11">
        <f xml:space="preserve">     12300</f>
        <v>12300</v>
      </c>
      <c r="D1177" s="11"/>
      <c r="E1177" s="17"/>
      <c r="F1177" s="12"/>
      <c r="G1177" s="8">
        <f t="shared" si="18"/>
        <v>0</v>
      </c>
      <c r="H1177" s="1"/>
    </row>
    <row r="1178" spans="1:8" ht="15.75" customHeight="1">
      <c r="A1178" s="6">
        <v>1174</v>
      </c>
      <c r="B1178" s="11" t="s">
        <v>1111</v>
      </c>
      <c r="C1178" s="11">
        <f xml:space="preserve">      1750</f>
        <v>1750</v>
      </c>
      <c r="D1178" s="11"/>
      <c r="E1178" s="17"/>
      <c r="F1178" s="12"/>
      <c r="G1178" s="8">
        <f t="shared" si="18"/>
        <v>0</v>
      </c>
      <c r="H1178" s="1"/>
    </row>
    <row r="1179" spans="1:8" ht="15.75" customHeight="1">
      <c r="A1179" s="6">
        <v>1175</v>
      </c>
      <c r="B1179" s="11" t="s">
        <v>1112</v>
      </c>
      <c r="C1179" s="11">
        <f xml:space="preserve">       550</f>
        <v>550</v>
      </c>
      <c r="D1179" s="11"/>
      <c r="E1179" s="17"/>
      <c r="F1179" s="12"/>
      <c r="G1179" s="8">
        <f t="shared" si="18"/>
        <v>0</v>
      </c>
      <c r="H1179" s="1"/>
    </row>
    <row r="1180" spans="1:8" ht="15.75" customHeight="1">
      <c r="A1180" s="6">
        <v>1176</v>
      </c>
      <c r="B1180" s="11" t="s">
        <v>1113</v>
      </c>
      <c r="C1180" s="11">
        <f xml:space="preserve">     13300</f>
        <v>13300</v>
      </c>
      <c r="D1180" s="11"/>
      <c r="E1180" s="17"/>
      <c r="F1180" s="12"/>
      <c r="G1180" s="8">
        <f t="shared" si="18"/>
        <v>0</v>
      </c>
      <c r="H1180" s="1"/>
    </row>
    <row r="1181" spans="1:8" ht="15.75" customHeight="1">
      <c r="A1181" s="6">
        <v>1177</v>
      </c>
      <c r="B1181" s="11" t="s">
        <v>1114</v>
      </c>
      <c r="C1181" s="11">
        <f xml:space="preserve">      2550</f>
        <v>2550</v>
      </c>
      <c r="D1181" s="11"/>
      <c r="E1181" s="17"/>
      <c r="F1181" s="12"/>
      <c r="G1181" s="8">
        <f t="shared" si="18"/>
        <v>0</v>
      </c>
      <c r="H1181" s="1"/>
    </row>
    <row r="1182" spans="1:8" ht="15.75" customHeight="1">
      <c r="A1182" s="6">
        <v>1178</v>
      </c>
      <c r="B1182" s="11" t="s">
        <v>1115</v>
      </c>
      <c r="C1182" s="11">
        <f xml:space="preserve">     31700</f>
        <v>31700</v>
      </c>
      <c r="D1182" s="11"/>
      <c r="E1182" s="17"/>
      <c r="F1182" s="12"/>
      <c r="G1182" s="8">
        <f t="shared" si="18"/>
        <v>0</v>
      </c>
      <c r="H1182" s="1"/>
    </row>
    <row r="1183" spans="1:8" ht="15.75" customHeight="1">
      <c r="A1183" s="6">
        <v>1179</v>
      </c>
      <c r="B1183" s="11" t="s">
        <v>1116</v>
      </c>
      <c r="C1183" s="11">
        <f xml:space="preserve">     38500</f>
        <v>38500</v>
      </c>
      <c r="D1183" s="11"/>
      <c r="E1183" s="17"/>
      <c r="F1183" s="12"/>
      <c r="G1183" s="8">
        <f t="shared" si="18"/>
        <v>0</v>
      </c>
      <c r="H1183" s="1"/>
    </row>
    <row r="1184" spans="1:8" ht="15.75" customHeight="1">
      <c r="A1184" s="6">
        <v>1180</v>
      </c>
      <c r="B1184" s="11" t="s">
        <v>1117</v>
      </c>
      <c r="C1184" s="11">
        <f xml:space="preserve">     23550</f>
        <v>23550</v>
      </c>
      <c r="D1184" s="11"/>
      <c r="E1184" s="17"/>
      <c r="F1184" s="12"/>
      <c r="G1184" s="8">
        <f t="shared" si="18"/>
        <v>0</v>
      </c>
      <c r="H1184" s="1"/>
    </row>
    <row r="1185" spans="1:8" ht="15.75" customHeight="1">
      <c r="A1185" s="6">
        <v>1181</v>
      </c>
      <c r="B1185" s="11" t="s">
        <v>1118</v>
      </c>
      <c r="C1185" s="11">
        <f xml:space="preserve">     29500</f>
        <v>29500</v>
      </c>
      <c r="D1185" s="11"/>
      <c r="E1185" s="17"/>
      <c r="F1185" s="12"/>
      <c r="G1185" s="8">
        <f t="shared" si="18"/>
        <v>0</v>
      </c>
      <c r="H1185" s="1"/>
    </row>
    <row r="1186" spans="1:8" ht="15.75" customHeight="1">
      <c r="A1186" s="6">
        <v>1182</v>
      </c>
      <c r="B1186" s="11" t="s">
        <v>1119</v>
      </c>
      <c r="C1186" s="11">
        <f xml:space="preserve">     39600</f>
        <v>39600</v>
      </c>
      <c r="D1186" s="11"/>
      <c r="E1186" s="17"/>
      <c r="F1186" s="12"/>
      <c r="G1186" s="8">
        <f t="shared" si="18"/>
        <v>0</v>
      </c>
      <c r="H1186" s="1"/>
    </row>
    <row r="1187" spans="1:8" ht="15.75" customHeight="1">
      <c r="A1187" s="6">
        <v>1183</v>
      </c>
      <c r="B1187" s="11" t="s">
        <v>1120</v>
      </c>
      <c r="C1187" s="11">
        <f xml:space="preserve">     22950</f>
        <v>22950</v>
      </c>
      <c r="D1187" s="11"/>
      <c r="E1187" s="17"/>
      <c r="F1187" s="12"/>
      <c r="G1187" s="8">
        <f t="shared" si="18"/>
        <v>0</v>
      </c>
      <c r="H1187" s="1"/>
    </row>
    <row r="1188" spans="1:8" ht="15.75" customHeight="1">
      <c r="A1188" s="6">
        <v>1184</v>
      </c>
      <c r="B1188" s="11" t="s">
        <v>1121</v>
      </c>
      <c r="C1188" s="11">
        <f xml:space="preserve">     32700</f>
        <v>32700</v>
      </c>
      <c r="D1188" s="11"/>
      <c r="E1188" s="17"/>
      <c r="F1188" s="12"/>
      <c r="G1188" s="8">
        <f t="shared" si="18"/>
        <v>0</v>
      </c>
      <c r="H1188" s="1"/>
    </row>
    <row r="1189" spans="1:8" ht="15.75" customHeight="1">
      <c r="A1189" s="6">
        <v>1185</v>
      </c>
      <c r="B1189" s="11" t="s">
        <v>1122</v>
      </c>
      <c r="C1189" s="11">
        <f xml:space="preserve">      6200</f>
        <v>6200</v>
      </c>
      <c r="D1189" s="11"/>
      <c r="E1189" s="17"/>
      <c r="F1189" s="12"/>
      <c r="G1189" s="8">
        <f t="shared" si="18"/>
        <v>0</v>
      </c>
      <c r="H1189" s="1"/>
    </row>
    <row r="1190" spans="1:8" ht="15.75" customHeight="1">
      <c r="A1190" s="6">
        <v>1186</v>
      </c>
      <c r="B1190" s="11" t="s">
        <v>1123</v>
      </c>
      <c r="C1190" s="11">
        <f xml:space="preserve">     13700</f>
        <v>13700</v>
      </c>
      <c r="D1190" s="11"/>
      <c r="E1190" s="17"/>
      <c r="F1190" s="12"/>
      <c r="G1190" s="8">
        <f t="shared" si="18"/>
        <v>0</v>
      </c>
      <c r="H1190" s="1"/>
    </row>
    <row r="1191" spans="1:8" ht="15.75" customHeight="1">
      <c r="A1191" s="6">
        <v>1187</v>
      </c>
      <c r="B1191" s="11" t="s">
        <v>1124</v>
      </c>
      <c r="C1191" s="11">
        <f xml:space="preserve">     19800</f>
        <v>19800</v>
      </c>
      <c r="D1191" s="11"/>
      <c r="E1191" s="17"/>
      <c r="F1191" s="12"/>
      <c r="G1191" s="8">
        <f t="shared" si="18"/>
        <v>0</v>
      </c>
      <c r="H1191" s="1"/>
    </row>
    <row r="1192" spans="1:8" ht="15.75" customHeight="1">
      <c r="A1192" s="6">
        <v>1188</v>
      </c>
      <c r="B1192" s="11" t="s">
        <v>1125</v>
      </c>
      <c r="C1192" s="11">
        <f xml:space="preserve">     41200</f>
        <v>41200</v>
      </c>
      <c r="D1192" s="11"/>
      <c r="E1192" s="17"/>
      <c r="F1192" s="12"/>
      <c r="G1192" s="8">
        <f t="shared" si="18"/>
        <v>0</v>
      </c>
      <c r="H1192" s="1"/>
    </row>
    <row r="1193" spans="1:8" ht="15.75" customHeight="1">
      <c r="A1193" s="6">
        <v>1189</v>
      </c>
      <c r="B1193" s="11" t="s">
        <v>1126</v>
      </c>
      <c r="C1193" s="11">
        <f xml:space="preserve">     12750</f>
        <v>12750</v>
      </c>
      <c r="D1193" s="11"/>
      <c r="E1193" s="17"/>
      <c r="F1193" s="12"/>
      <c r="G1193" s="8">
        <f t="shared" si="18"/>
        <v>0</v>
      </c>
      <c r="H1193" s="1"/>
    </row>
    <row r="1194" spans="1:8" ht="15.75" customHeight="1">
      <c r="A1194" s="6">
        <v>1190</v>
      </c>
      <c r="B1194" s="11" t="s">
        <v>1127</v>
      </c>
      <c r="C1194" s="11">
        <f xml:space="preserve">      7150</f>
        <v>7150</v>
      </c>
      <c r="D1194" s="11"/>
      <c r="E1194" s="17"/>
      <c r="F1194" s="12"/>
      <c r="G1194" s="8">
        <f t="shared" si="18"/>
        <v>0</v>
      </c>
      <c r="H1194" s="1"/>
    </row>
    <row r="1195" spans="1:8" ht="15.75" customHeight="1">
      <c r="A1195" s="6">
        <v>1191</v>
      </c>
      <c r="B1195" s="11" t="s">
        <v>1128</v>
      </c>
      <c r="C1195" s="11">
        <f xml:space="preserve">      8500</f>
        <v>8500</v>
      </c>
      <c r="D1195" s="11"/>
      <c r="E1195" s="17"/>
      <c r="F1195" s="12"/>
      <c r="G1195" s="8">
        <f t="shared" si="18"/>
        <v>0</v>
      </c>
      <c r="H1195" s="1"/>
    </row>
    <row r="1196" spans="1:8" ht="15.75" customHeight="1">
      <c r="A1196" s="6">
        <v>1192</v>
      </c>
      <c r="B1196" s="11" t="s">
        <v>1129</v>
      </c>
      <c r="C1196" s="11">
        <f xml:space="preserve">      9400</f>
        <v>9400</v>
      </c>
      <c r="D1196" s="11"/>
      <c r="E1196" s="17"/>
      <c r="F1196" s="12"/>
      <c r="G1196" s="8">
        <f t="shared" si="18"/>
        <v>0</v>
      </c>
      <c r="H1196" s="1"/>
    </row>
    <row r="1197" spans="1:8" ht="15.75" customHeight="1">
      <c r="A1197" s="6">
        <v>1193</v>
      </c>
      <c r="B1197" s="11" t="s">
        <v>1130</v>
      </c>
      <c r="C1197" s="11">
        <f xml:space="preserve">      4200</f>
        <v>4200</v>
      </c>
      <c r="D1197" s="11"/>
      <c r="E1197" s="17"/>
      <c r="F1197" s="12"/>
      <c r="G1197" s="8">
        <f t="shared" si="18"/>
        <v>0</v>
      </c>
      <c r="H1197" s="1"/>
    </row>
    <row r="1198" spans="1:8" ht="15.75" customHeight="1">
      <c r="A1198" s="6">
        <v>1194</v>
      </c>
      <c r="B1198" s="11" t="s">
        <v>1131</v>
      </c>
      <c r="C1198" s="11">
        <f xml:space="preserve">      7800</f>
        <v>7800</v>
      </c>
      <c r="D1198" s="11"/>
      <c r="E1198" s="17"/>
      <c r="F1198" s="12"/>
      <c r="G1198" s="8">
        <f t="shared" si="18"/>
        <v>0</v>
      </c>
      <c r="H1198" s="1"/>
    </row>
    <row r="1199" spans="1:8" ht="15.75" customHeight="1">
      <c r="A1199" s="6">
        <v>1195</v>
      </c>
      <c r="B1199" s="11" t="s">
        <v>1132</v>
      </c>
      <c r="C1199" s="11">
        <f xml:space="preserve">      7100</f>
        <v>7100</v>
      </c>
      <c r="D1199" s="11"/>
      <c r="E1199" s="17"/>
      <c r="F1199" s="12"/>
      <c r="G1199" s="8">
        <f t="shared" si="18"/>
        <v>0</v>
      </c>
      <c r="H1199" s="1"/>
    </row>
    <row r="1200" spans="1:8" ht="15.75" customHeight="1">
      <c r="A1200" s="6">
        <v>1196</v>
      </c>
      <c r="B1200" s="11" t="s">
        <v>1133</v>
      </c>
      <c r="C1200" s="11">
        <f xml:space="preserve">     16100</f>
        <v>16100</v>
      </c>
      <c r="D1200" s="11"/>
      <c r="E1200" s="17"/>
      <c r="F1200" s="12"/>
      <c r="G1200" s="8">
        <f t="shared" si="18"/>
        <v>0</v>
      </c>
      <c r="H1200" s="1"/>
    </row>
    <row r="1201" spans="1:8" ht="15.75" customHeight="1">
      <c r="A1201" s="6">
        <v>1197</v>
      </c>
      <c r="B1201" s="11" t="s">
        <v>1134</v>
      </c>
      <c r="C1201" s="11">
        <f xml:space="preserve">     89100</f>
        <v>89100</v>
      </c>
      <c r="D1201" s="11"/>
      <c r="E1201" s="17"/>
      <c r="F1201" s="12"/>
      <c r="G1201" s="8">
        <f t="shared" si="18"/>
        <v>0</v>
      </c>
      <c r="H1201" s="1"/>
    </row>
    <row r="1202" spans="1:8" ht="15.75" customHeight="1">
      <c r="A1202" s="6">
        <v>1198</v>
      </c>
      <c r="B1202" s="11" t="s">
        <v>1135</v>
      </c>
      <c r="C1202" s="11">
        <f xml:space="preserve">     38900</f>
        <v>38900</v>
      </c>
      <c r="D1202" s="11"/>
      <c r="E1202" s="17"/>
      <c r="F1202" s="12"/>
      <c r="G1202" s="8">
        <f t="shared" si="18"/>
        <v>0</v>
      </c>
      <c r="H1202" s="1"/>
    </row>
    <row r="1203" spans="1:8" ht="15.75" customHeight="1">
      <c r="A1203" s="6">
        <v>1199</v>
      </c>
      <c r="B1203" s="11" t="s">
        <v>1136</v>
      </c>
      <c r="C1203" s="11">
        <f xml:space="preserve">     54100</f>
        <v>54100</v>
      </c>
      <c r="D1203" s="11"/>
      <c r="E1203" s="17"/>
      <c r="F1203" s="12"/>
      <c r="G1203" s="8">
        <f t="shared" si="18"/>
        <v>0</v>
      </c>
      <c r="H1203" s="1"/>
    </row>
    <row r="1204" spans="1:8" ht="15.75" customHeight="1">
      <c r="A1204" s="6">
        <v>1200</v>
      </c>
      <c r="B1204" s="11" t="s">
        <v>1137</v>
      </c>
      <c r="C1204" s="11">
        <f xml:space="preserve">      7450</f>
        <v>7450</v>
      </c>
      <c r="D1204" s="11"/>
      <c r="E1204" s="17"/>
      <c r="F1204" s="12"/>
      <c r="G1204" s="8">
        <f t="shared" si="18"/>
        <v>0</v>
      </c>
      <c r="H1204" s="1"/>
    </row>
    <row r="1205" spans="1:8" ht="15.75" customHeight="1">
      <c r="A1205" s="6">
        <v>1201</v>
      </c>
      <c r="B1205" s="11" t="s">
        <v>1138</v>
      </c>
      <c r="C1205" s="11">
        <f xml:space="preserve">     75700</f>
        <v>75700</v>
      </c>
      <c r="D1205" s="11"/>
      <c r="E1205" s="17"/>
      <c r="F1205" s="12"/>
      <c r="G1205" s="8">
        <f t="shared" si="18"/>
        <v>0</v>
      </c>
      <c r="H1205" s="1"/>
    </row>
    <row r="1206" spans="1:8" ht="15.75" customHeight="1">
      <c r="A1206" s="6">
        <v>1202</v>
      </c>
      <c r="B1206" s="11" t="s">
        <v>1139</v>
      </c>
      <c r="C1206" s="11">
        <f xml:space="preserve">     62750</f>
        <v>62750</v>
      </c>
      <c r="D1206" s="11"/>
      <c r="E1206" s="17"/>
      <c r="F1206" s="12"/>
      <c r="G1206" s="8">
        <f t="shared" si="18"/>
        <v>0</v>
      </c>
      <c r="H1206" s="1"/>
    </row>
    <row r="1207" spans="1:8" ht="15.75" customHeight="1">
      <c r="A1207" s="6">
        <v>1203</v>
      </c>
      <c r="B1207" s="11" t="s">
        <v>1140</v>
      </c>
      <c r="C1207" s="11">
        <f xml:space="preserve">     95400</f>
        <v>95400</v>
      </c>
      <c r="D1207" s="11"/>
      <c r="E1207" s="17"/>
      <c r="F1207" s="12"/>
      <c r="G1207" s="8">
        <f t="shared" si="18"/>
        <v>0</v>
      </c>
      <c r="H1207" s="1"/>
    </row>
    <row r="1208" spans="1:8" ht="15.75" customHeight="1">
      <c r="A1208" s="6">
        <v>1204</v>
      </c>
      <c r="B1208" s="11" t="s">
        <v>1141</v>
      </c>
      <c r="C1208" s="11">
        <f xml:space="preserve">     93200</f>
        <v>93200</v>
      </c>
      <c r="D1208" s="11"/>
      <c r="E1208" s="17"/>
      <c r="F1208" s="12"/>
      <c r="G1208" s="8">
        <f t="shared" si="18"/>
        <v>0</v>
      </c>
      <c r="H1208" s="1"/>
    </row>
    <row r="1209" spans="1:8" ht="15.75" customHeight="1">
      <c r="A1209" s="6">
        <v>1205</v>
      </c>
      <c r="B1209" s="11" t="s">
        <v>1142</v>
      </c>
      <c r="C1209" s="11">
        <f xml:space="preserve">    132000</f>
        <v>132000</v>
      </c>
      <c r="D1209" s="11"/>
      <c r="E1209" s="17"/>
      <c r="F1209" s="12"/>
      <c r="G1209" s="8">
        <f t="shared" si="18"/>
        <v>0</v>
      </c>
      <c r="H1209" s="1"/>
    </row>
    <row r="1210" spans="1:8" ht="15.75" customHeight="1">
      <c r="A1210" s="6">
        <v>1206</v>
      </c>
      <c r="B1210" s="11" t="s">
        <v>1143</v>
      </c>
      <c r="C1210" s="11">
        <f xml:space="preserve">     33700</f>
        <v>33700</v>
      </c>
      <c r="D1210" s="11"/>
      <c r="E1210" s="17"/>
      <c r="F1210" s="12"/>
      <c r="G1210" s="8">
        <f t="shared" si="18"/>
        <v>0</v>
      </c>
      <c r="H1210" s="1"/>
    </row>
    <row r="1211" spans="1:8" ht="15.75" customHeight="1">
      <c r="A1211" s="6">
        <v>1207</v>
      </c>
      <c r="B1211" s="11" t="s">
        <v>1144</v>
      </c>
      <c r="C1211" s="11">
        <f xml:space="preserve">     44450</f>
        <v>44450</v>
      </c>
      <c r="D1211" s="11"/>
      <c r="E1211" s="17"/>
      <c r="F1211" s="12"/>
      <c r="G1211" s="8">
        <f t="shared" si="18"/>
        <v>0</v>
      </c>
      <c r="H1211" s="1"/>
    </row>
    <row r="1212" spans="1:8" ht="15.75" customHeight="1">
      <c r="A1212" s="6">
        <v>1208</v>
      </c>
      <c r="B1212" s="11" t="s">
        <v>1145</v>
      </c>
      <c r="C1212" s="11">
        <f xml:space="preserve">     54500</f>
        <v>54500</v>
      </c>
      <c r="D1212" s="11"/>
      <c r="E1212" s="17"/>
      <c r="F1212" s="12"/>
      <c r="G1212" s="8">
        <f t="shared" si="18"/>
        <v>0</v>
      </c>
      <c r="H1212" s="1"/>
    </row>
    <row r="1213" spans="1:8" ht="15.75" customHeight="1">
      <c r="A1213" s="6">
        <v>1209</v>
      </c>
      <c r="B1213" s="11" t="s">
        <v>1146</v>
      </c>
      <c r="C1213" s="11">
        <f xml:space="preserve">     48400</f>
        <v>48400</v>
      </c>
      <c r="D1213" s="11"/>
      <c r="E1213" s="17"/>
      <c r="F1213" s="12"/>
      <c r="G1213" s="8">
        <f t="shared" si="18"/>
        <v>0</v>
      </c>
      <c r="H1213" s="1"/>
    </row>
    <row r="1214" spans="1:8" ht="15.75" customHeight="1">
      <c r="A1214" s="6">
        <v>1210</v>
      </c>
      <c r="B1214" s="11" t="s">
        <v>1147</v>
      </c>
      <c r="C1214" s="11">
        <f xml:space="preserve">     32400</f>
        <v>32400</v>
      </c>
      <c r="D1214" s="11"/>
      <c r="E1214" s="17"/>
      <c r="F1214" s="12"/>
      <c r="G1214" s="8">
        <f t="shared" si="18"/>
        <v>0</v>
      </c>
      <c r="H1214" s="1"/>
    </row>
    <row r="1215" spans="1:8" ht="15.75" customHeight="1">
      <c r="A1215" s="6">
        <v>1211</v>
      </c>
      <c r="B1215" s="11" t="s">
        <v>1148</v>
      </c>
      <c r="C1215" s="11">
        <f xml:space="preserve">    198000</f>
        <v>198000</v>
      </c>
      <c r="D1215" s="11"/>
      <c r="E1215" s="17"/>
      <c r="F1215" s="12"/>
      <c r="G1215" s="8">
        <f t="shared" si="18"/>
        <v>0</v>
      </c>
      <c r="H1215" s="1"/>
    </row>
    <row r="1216" spans="1:8" ht="15.75" customHeight="1">
      <c r="A1216" s="6">
        <v>1212</v>
      </c>
      <c r="B1216" s="11" t="s">
        <v>1149</v>
      </c>
      <c r="C1216" s="11">
        <f xml:space="preserve">     40600</f>
        <v>40600</v>
      </c>
      <c r="D1216" s="11"/>
      <c r="E1216" s="17"/>
      <c r="F1216" s="12"/>
      <c r="G1216" s="8">
        <f t="shared" si="18"/>
        <v>0</v>
      </c>
      <c r="H1216" s="1"/>
    </row>
    <row r="1217" spans="1:8" ht="15.75" customHeight="1">
      <c r="A1217" s="6">
        <v>1213</v>
      </c>
      <c r="B1217" s="11" t="s">
        <v>1150</v>
      </c>
      <c r="C1217" s="11">
        <f xml:space="preserve">     46400</f>
        <v>46400</v>
      </c>
      <c r="D1217" s="11"/>
      <c r="E1217" s="17"/>
      <c r="F1217" s="12"/>
      <c r="G1217" s="8">
        <f t="shared" si="18"/>
        <v>0</v>
      </c>
      <c r="H1217" s="1"/>
    </row>
    <row r="1218" spans="1:8" ht="15.75" customHeight="1">
      <c r="A1218" s="6">
        <v>1214</v>
      </c>
      <c r="B1218" s="11" t="s">
        <v>1151</v>
      </c>
      <c r="C1218" s="11">
        <f xml:space="preserve">      2600</f>
        <v>2600</v>
      </c>
      <c r="D1218" s="11"/>
      <c r="E1218" s="17"/>
      <c r="F1218" s="12"/>
      <c r="G1218" s="8">
        <f t="shared" si="18"/>
        <v>0</v>
      </c>
      <c r="H1218" s="1"/>
    </row>
    <row r="1219" spans="1:8" ht="15.75" customHeight="1">
      <c r="A1219" s="6">
        <v>1215</v>
      </c>
      <c r="B1219" s="11" t="s">
        <v>1152</v>
      </c>
      <c r="C1219" s="11">
        <f xml:space="preserve">      1500</f>
        <v>1500</v>
      </c>
      <c r="D1219" s="11"/>
      <c r="E1219" s="17"/>
      <c r="F1219" s="12"/>
      <c r="G1219" s="8">
        <f t="shared" si="18"/>
        <v>0</v>
      </c>
      <c r="H1219" s="1"/>
    </row>
    <row r="1220" spans="1:8" ht="15.75" customHeight="1">
      <c r="A1220" s="6">
        <v>1216</v>
      </c>
      <c r="B1220" s="11" t="s">
        <v>1153</v>
      </c>
      <c r="C1220" s="11">
        <f xml:space="preserve">     26750</f>
        <v>26750</v>
      </c>
      <c r="D1220" s="11"/>
      <c r="E1220" s="17"/>
      <c r="F1220" s="12"/>
      <c r="G1220" s="8">
        <f t="shared" ref="G1220:G1283" si="19">C1220*D1220+E1220*F1220</f>
        <v>0</v>
      </c>
      <c r="H1220" s="1"/>
    </row>
    <row r="1221" spans="1:8" ht="15.75" customHeight="1">
      <c r="A1221" s="6">
        <v>1217</v>
      </c>
      <c r="B1221" s="11" t="s">
        <v>1154</v>
      </c>
      <c r="C1221" s="11">
        <f xml:space="preserve">     17900</f>
        <v>17900</v>
      </c>
      <c r="D1221" s="11"/>
      <c r="E1221" s="17"/>
      <c r="F1221" s="12"/>
      <c r="G1221" s="8">
        <f t="shared" si="19"/>
        <v>0</v>
      </c>
      <c r="H1221" s="1"/>
    </row>
    <row r="1222" spans="1:8" ht="15.75" customHeight="1">
      <c r="A1222" s="6">
        <v>1218</v>
      </c>
      <c r="B1222" s="11" t="s">
        <v>1155</v>
      </c>
      <c r="C1222" s="11">
        <f xml:space="preserve">     18150</f>
        <v>18150</v>
      </c>
      <c r="D1222" s="11"/>
      <c r="E1222" s="17"/>
      <c r="F1222" s="12"/>
      <c r="G1222" s="8">
        <f t="shared" si="19"/>
        <v>0</v>
      </c>
      <c r="H1222" s="1"/>
    </row>
    <row r="1223" spans="1:8" ht="15.75" customHeight="1">
      <c r="A1223" s="6">
        <v>1219</v>
      </c>
      <c r="B1223" s="11" t="s">
        <v>1156</v>
      </c>
      <c r="C1223" s="11">
        <f xml:space="preserve">     30850</f>
        <v>30850</v>
      </c>
      <c r="D1223" s="11"/>
      <c r="E1223" s="17"/>
      <c r="F1223" s="12"/>
      <c r="G1223" s="8">
        <f t="shared" si="19"/>
        <v>0</v>
      </c>
      <c r="H1223" s="1"/>
    </row>
    <row r="1224" spans="1:8" ht="15.75" customHeight="1">
      <c r="A1224" s="6">
        <v>1220</v>
      </c>
      <c r="B1224" s="11" t="s">
        <v>2472</v>
      </c>
      <c r="C1224" s="11">
        <f xml:space="preserve">     66300</f>
        <v>66300</v>
      </c>
      <c r="D1224" s="11"/>
      <c r="E1224" s="17"/>
      <c r="F1224" s="12"/>
      <c r="G1224" s="8">
        <f t="shared" si="19"/>
        <v>0</v>
      </c>
      <c r="H1224" s="1"/>
    </row>
    <row r="1225" spans="1:8" ht="15.75" customHeight="1">
      <c r="A1225" s="6">
        <v>1221</v>
      </c>
      <c r="B1225" s="11" t="s">
        <v>1157</v>
      </c>
      <c r="C1225" s="11">
        <f xml:space="preserve">    174000</f>
        <v>174000</v>
      </c>
      <c r="D1225" s="11"/>
      <c r="E1225" s="17"/>
      <c r="F1225" s="12"/>
      <c r="G1225" s="8">
        <f t="shared" si="19"/>
        <v>0</v>
      </c>
      <c r="H1225" s="1"/>
    </row>
    <row r="1226" spans="1:8" ht="15.75" customHeight="1">
      <c r="A1226" s="6">
        <v>1222</v>
      </c>
      <c r="B1226" s="11" t="s">
        <v>1158</v>
      </c>
      <c r="C1226" s="11">
        <f xml:space="preserve">     53200</f>
        <v>53200</v>
      </c>
      <c r="D1226" s="11"/>
      <c r="E1226" s="17"/>
      <c r="F1226" s="12"/>
      <c r="G1226" s="8">
        <f t="shared" si="19"/>
        <v>0</v>
      </c>
      <c r="H1226" s="1"/>
    </row>
    <row r="1227" spans="1:8" ht="15.75" customHeight="1">
      <c r="A1227" s="6">
        <v>1223</v>
      </c>
      <c r="B1227" s="11" t="s">
        <v>1159</v>
      </c>
      <c r="C1227" s="11">
        <f xml:space="preserve">      8250</f>
        <v>8250</v>
      </c>
      <c r="D1227" s="11"/>
      <c r="E1227" s="17"/>
      <c r="F1227" s="12"/>
      <c r="G1227" s="8">
        <f t="shared" si="19"/>
        <v>0</v>
      </c>
      <c r="H1227" s="1"/>
    </row>
    <row r="1228" spans="1:8" ht="15.75" customHeight="1">
      <c r="A1228" s="6">
        <v>1224</v>
      </c>
      <c r="B1228" s="11" t="s">
        <v>1160</v>
      </c>
      <c r="C1228" s="11">
        <f xml:space="preserve">      3850</f>
        <v>3850</v>
      </c>
      <c r="D1228" s="11"/>
      <c r="E1228" s="17"/>
      <c r="F1228" s="12"/>
      <c r="G1228" s="8">
        <f t="shared" si="19"/>
        <v>0</v>
      </c>
      <c r="H1228" s="1"/>
    </row>
    <row r="1229" spans="1:8" ht="15.75" customHeight="1">
      <c r="A1229" s="6">
        <v>1225</v>
      </c>
      <c r="B1229" s="11" t="s">
        <v>1161</v>
      </c>
      <c r="C1229" s="11">
        <f xml:space="preserve">      6200</f>
        <v>6200</v>
      </c>
      <c r="D1229" s="11"/>
      <c r="E1229" s="17"/>
      <c r="F1229" s="12"/>
      <c r="G1229" s="8">
        <f t="shared" si="19"/>
        <v>0</v>
      </c>
      <c r="H1229" s="1"/>
    </row>
    <row r="1230" spans="1:8" ht="15.75" customHeight="1">
      <c r="A1230" s="6">
        <v>1226</v>
      </c>
      <c r="B1230" s="11" t="s">
        <v>1162</v>
      </c>
      <c r="C1230" s="11">
        <f xml:space="preserve">      3400</f>
        <v>3400</v>
      </c>
      <c r="D1230" s="11"/>
      <c r="E1230" s="17"/>
      <c r="F1230" s="12"/>
      <c r="G1230" s="8">
        <f t="shared" si="19"/>
        <v>0</v>
      </c>
      <c r="H1230" s="1"/>
    </row>
    <row r="1231" spans="1:8" ht="15.75" customHeight="1">
      <c r="A1231" s="6">
        <v>1227</v>
      </c>
      <c r="B1231" s="11" t="s">
        <v>1163</v>
      </c>
      <c r="C1231" s="11">
        <f xml:space="preserve">      6200</f>
        <v>6200</v>
      </c>
      <c r="D1231" s="11"/>
      <c r="E1231" s="17"/>
      <c r="F1231" s="12"/>
      <c r="G1231" s="8">
        <f t="shared" si="19"/>
        <v>0</v>
      </c>
      <c r="H1231" s="1"/>
    </row>
    <row r="1232" spans="1:8" ht="15.75" customHeight="1">
      <c r="A1232" s="6">
        <v>1228</v>
      </c>
      <c r="B1232" s="11" t="s">
        <v>1164</v>
      </c>
      <c r="C1232" s="11">
        <f xml:space="preserve">      9700</f>
        <v>9700</v>
      </c>
      <c r="D1232" s="11"/>
      <c r="E1232" s="17"/>
      <c r="F1232" s="12"/>
      <c r="G1232" s="8">
        <f t="shared" si="19"/>
        <v>0</v>
      </c>
      <c r="H1232" s="1"/>
    </row>
    <row r="1233" spans="1:8" ht="15.75" customHeight="1">
      <c r="A1233" s="6">
        <v>1229</v>
      </c>
      <c r="B1233" s="11" t="s">
        <v>1165</v>
      </c>
      <c r="C1233" s="11">
        <f xml:space="preserve">     12650</f>
        <v>12650</v>
      </c>
      <c r="D1233" s="11"/>
      <c r="E1233" s="17"/>
      <c r="F1233" s="12"/>
      <c r="G1233" s="8">
        <f t="shared" si="19"/>
        <v>0</v>
      </c>
      <c r="H1233" s="1"/>
    </row>
    <row r="1234" spans="1:8" ht="15.75" customHeight="1">
      <c r="A1234" s="6">
        <v>1230</v>
      </c>
      <c r="B1234" s="11" t="s">
        <v>1166</v>
      </c>
      <c r="C1234" s="11">
        <f xml:space="preserve">     18000</f>
        <v>18000</v>
      </c>
      <c r="D1234" s="11"/>
      <c r="E1234" s="17"/>
      <c r="F1234" s="12"/>
      <c r="G1234" s="8">
        <f t="shared" si="19"/>
        <v>0</v>
      </c>
      <c r="H1234" s="1"/>
    </row>
    <row r="1235" spans="1:8" ht="15.75" customHeight="1">
      <c r="A1235" s="6">
        <v>1231</v>
      </c>
      <c r="B1235" s="11" t="s">
        <v>1167</v>
      </c>
      <c r="C1235" s="11">
        <f xml:space="preserve">     17050</f>
        <v>17050</v>
      </c>
      <c r="D1235" s="11"/>
      <c r="E1235" s="17"/>
      <c r="F1235" s="12"/>
      <c r="G1235" s="8">
        <f t="shared" si="19"/>
        <v>0</v>
      </c>
      <c r="H1235" s="1"/>
    </row>
    <row r="1236" spans="1:8" ht="15.75" customHeight="1">
      <c r="A1236" s="6">
        <v>1232</v>
      </c>
      <c r="B1236" s="11" t="s">
        <v>1168</v>
      </c>
      <c r="C1236" s="11">
        <f xml:space="preserve">     14950</f>
        <v>14950</v>
      </c>
      <c r="D1236" s="11"/>
      <c r="E1236" s="17"/>
      <c r="F1236" s="12"/>
      <c r="G1236" s="8">
        <f t="shared" si="19"/>
        <v>0</v>
      </c>
      <c r="H1236" s="1"/>
    </row>
    <row r="1237" spans="1:8" ht="15.75" customHeight="1">
      <c r="A1237" s="6">
        <v>1233</v>
      </c>
      <c r="B1237" s="11" t="s">
        <v>1169</v>
      </c>
      <c r="C1237" s="11">
        <f xml:space="preserve">     58200</f>
        <v>58200</v>
      </c>
      <c r="D1237" s="11"/>
      <c r="E1237" s="17"/>
      <c r="F1237" s="12"/>
      <c r="G1237" s="8">
        <f t="shared" si="19"/>
        <v>0</v>
      </c>
      <c r="H1237" s="1"/>
    </row>
    <row r="1238" spans="1:8" ht="15.75" customHeight="1">
      <c r="A1238" s="6">
        <v>1234</v>
      </c>
      <c r="B1238" s="11" t="s">
        <v>1170</v>
      </c>
      <c r="C1238" s="11">
        <f xml:space="preserve">     39600</f>
        <v>39600</v>
      </c>
      <c r="D1238" s="11"/>
      <c r="E1238" s="17"/>
      <c r="F1238" s="12"/>
      <c r="G1238" s="8">
        <f t="shared" si="19"/>
        <v>0</v>
      </c>
      <c r="H1238" s="1"/>
    </row>
    <row r="1239" spans="1:8" ht="15.75" customHeight="1">
      <c r="A1239" s="6">
        <v>1235</v>
      </c>
      <c r="B1239" s="11" t="s">
        <v>1171</v>
      </c>
      <c r="C1239" s="11">
        <f xml:space="preserve">    142250</f>
        <v>142250</v>
      </c>
      <c r="D1239" s="11"/>
      <c r="E1239" s="17"/>
      <c r="F1239" s="12"/>
      <c r="G1239" s="8">
        <f t="shared" si="19"/>
        <v>0</v>
      </c>
      <c r="H1239" s="1"/>
    </row>
    <row r="1240" spans="1:8" ht="15.75" customHeight="1">
      <c r="A1240" s="6">
        <v>1236</v>
      </c>
      <c r="B1240" s="11" t="s">
        <v>1172</v>
      </c>
      <c r="C1240" s="11">
        <f xml:space="preserve">     84800</f>
        <v>84800</v>
      </c>
      <c r="D1240" s="11"/>
      <c r="E1240" s="17"/>
      <c r="F1240" s="12"/>
      <c r="G1240" s="8">
        <f t="shared" si="19"/>
        <v>0</v>
      </c>
      <c r="H1240" s="1"/>
    </row>
    <row r="1241" spans="1:8" ht="15.75" customHeight="1">
      <c r="A1241" s="6">
        <v>1237</v>
      </c>
      <c r="B1241" s="11" t="s">
        <v>1173</v>
      </c>
      <c r="C1241" s="11">
        <f xml:space="preserve">    136400</f>
        <v>136400</v>
      </c>
      <c r="D1241" s="11"/>
      <c r="E1241" s="17"/>
      <c r="F1241" s="12"/>
      <c r="G1241" s="8">
        <f t="shared" si="19"/>
        <v>0</v>
      </c>
      <c r="H1241" s="1"/>
    </row>
    <row r="1242" spans="1:8" ht="15.75" customHeight="1">
      <c r="A1242" s="6">
        <v>1238</v>
      </c>
      <c r="B1242" s="11" t="s">
        <v>1174</v>
      </c>
      <c r="C1242" s="11">
        <f xml:space="preserve">     50300</f>
        <v>50300</v>
      </c>
      <c r="D1242" s="11"/>
      <c r="E1242" s="17"/>
      <c r="F1242" s="12"/>
      <c r="G1242" s="8">
        <f t="shared" si="19"/>
        <v>0</v>
      </c>
      <c r="H1242" s="1"/>
    </row>
    <row r="1243" spans="1:8" ht="15.75" customHeight="1">
      <c r="A1243" s="6">
        <v>1239</v>
      </c>
      <c r="B1243" s="11" t="s">
        <v>1175</v>
      </c>
      <c r="C1243" s="11">
        <f xml:space="preserve">     43100</f>
        <v>43100</v>
      </c>
      <c r="D1243" s="11"/>
      <c r="E1243" s="17"/>
      <c r="F1243" s="12"/>
      <c r="G1243" s="8">
        <f t="shared" si="19"/>
        <v>0</v>
      </c>
      <c r="H1243" s="1"/>
    </row>
    <row r="1244" spans="1:8" ht="15.75" customHeight="1">
      <c r="A1244" s="6">
        <v>1240</v>
      </c>
      <c r="B1244" s="11" t="s">
        <v>1176</v>
      </c>
      <c r="C1244" s="11">
        <f xml:space="preserve">     40300</f>
        <v>40300</v>
      </c>
      <c r="D1244" s="11"/>
      <c r="E1244" s="17"/>
      <c r="F1244" s="12"/>
      <c r="G1244" s="8">
        <f t="shared" si="19"/>
        <v>0</v>
      </c>
      <c r="H1244" s="1"/>
    </row>
    <row r="1245" spans="1:8" ht="15.75" customHeight="1">
      <c r="A1245" s="6">
        <v>1241</v>
      </c>
      <c r="B1245" s="11" t="s">
        <v>1177</v>
      </c>
      <c r="C1245" s="11">
        <f xml:space="preserve">     32500</f>
        <v>32500</v>
      </c>
      <c r="D1245" s="11"/>
      <c r="E1245" s="17"/>
      <c r="F1245" s="12"/>
      <c r="G1245" s="8">
        <f t="shared" si="19"/>
        <v>0</v>
      </c>
      <c r="H1245" s="1"/>
    </row>
    <row r="1246" spans="1:8" ht="15.75" customHeight="1">
      <c r="A1246" s="6">
        <v>1242</v>
      </c>
      <c r="B1246" s="11" t="s">
        <v>1178</v>
      </c>
      <c r="C1246" s="11">
        <f xml:space="preserve">     26400</f>
        <v>26400</v>
      </c>
      <c r="D1246" s="11"/>
      <c r="E1246" s="17"/>
      <c r="F1246" s="12"/>
      <c r="G1246" s="8">
        <f t="shared" si="19"/>
        <v>0</v>
      </c>
      <c r="H1246" s="1"/>
    </row>
    <row r="1247" spans="1:8" ht="15.75" customHeight="1">
      <c r="A1247" s="6">
        <v>1243</v>
      </c>
      <c r="B1247" s="11" t="s">
        <v>1179</v>
      </c>
      <c r="C1247" s="11">
        <f xml:space="preserve">     80900</f>
        <v>80900</v>
      </c>
      <c r="D1247" s="11"/>
      <c r="E1247" s="17"/>
      <c r="F1247" s="12"/>
      <c r="G1247" s="8">
        <f t="shared" si="19"/>
        <v>0</v>
      </c>
      <c r="H1247" s="1"/>
    </row>
    <row r="1248" spans="1:8" ht="15.75" customHeight="1">
      <c r="A1248" s="6">
        <v>1244</v>
      </c>
      <c r="B1248" s="11" t="s">
        <v>1180</v>
      </c>
      <c r="C1248" s="11">
        <f xml:space="preserve">       800</f>
        <v>800</v>
      </c>
      <c r="D1248" s="11"/>
      <c r="E1248" s="17"/>
      <c r="F1248" s="12"/>
      <c r="G1248" s="8">
        <f t="shared" si="19"/>
        <v>0</v>
      </c>
      <c r="H1248" s="1"/>
    </row>
    <row r="1249" spans="1:8" ht="15.75" customHeight="1">
      <c r="A1249" s="6">
        <v>1245</v>
      </c>
      <c r="B1249" s="11" t="s">
        <v>1181</v>
      </c>
      <c r="C1249" s="11">
        <f xml:space="preserve">      1550</f>
        <v>1550</v>
      </c>
      <c r="D1249" s="11"/>
      <c r="E1249" s="17"/>
      <c r="F1249" s="12"/>
      <c r="G1249" s="8">
        <f t="shared" si="19"/>
        <v>0</v>
      </c>
      <c r="H1249" s="1"/>
    </row>
    <row r="1250" spans="1:8" ht="15.75" customHeight="1">
      <c r="A1250" s="6">
        <v>1246</v>
      </c>
      <c r="B1250" s="11" t="s">
        <v>1182</v>
      </c>
      <c r="C1250" s="11">
        <f xml:space="preserve">      4200</f>
        <v>4200</v>
      </c>
      <c r="D1250" s="11"/>
      <c r="E1250" s="17"/>
      <c r="F1250" s="12"/>
      <c r="G1250" s="8">
        <f t="shared" si="19"/>
        <v>0</v>
      </c>
      <c r="H1250" s="1"/>
    </row>
    <row r="1251" spans="1:8" ht="15.75" customHeight="1">
      <c r="A1251" s="6">
        <v>1247</v>
      </c>
      <c r="B1251" s="11" t="s">
        <v>1183</v>
      </c>
      <c r="C1251" s="11">
        <f xml:space="preserve">     26350</f>
        <v>26350</v>
      </c>
      <c r="D1251" s="11"/>
      <c r="E1251" s="17"/>
      <c r="F1251" s="12"/>
      <c r="G1251" s="8">
        <f t="shared" si="19"/>
        <v>0</v>
      </c>
      <c r="H1251" s="1"/>
    </row>
    <row r="1252" spans="1:8" ht="15.75" customHeight="1">
      <c r="A1252" s="6">
        <v>1248</v>
      </c>
      <c r="B1252" s="11" t="s">
        <v>1184</v>
      </c>
      <c r="C1252" s="11">
        <f xml:space="preserve">      3350</f>
        <v>3350</v>
      </c>
      <c r="D1252" s="11"/>
      <c r="E1252" s="17"/>
      <c r="F1252" s="12"/>
      <c r="G1252" s="8">
        <f t="shared" si="19"/>
        <v>0</v>
      </c>
      <c r="H1252" s="1"/>
    </row>
    <row r="1253" spans="1:8" ht="15.75" customHeight="1">
      <c r="A1253" s="6">
        <v>1249</v>
      </c>
      <c r="B1253" s="11" t="s">
        <v>1185</v>
      </c>
      <c r="C1253" s="11">
        <f xml:space="preserve">     26300</f>
        <v>26300</v>
      </c>
      <c r="D1253" s="11"/>
      <c r="E1253" s="17"/>
      <c r="F1253" s="12"/>
      <c r="G1253" s="8">
        <f t="shared" si="19"/>
        <v>0</v>
      </c>
      <c r="H1253" s="1"/>
    </row>
    <row r="1254" spans="1:8" ht="15.75" customHeight="1">
      <c r="A1254" s="6">
        <v>1250</v>
      </c>
      <c r="B1254" s="11" t="s">
        <v>1185</v>
      </c>
      <c r="C1254" s="11">
        <f xml:space="preserve">     26300</f>
        <v>26300</v>
      </c>
      <c r="D1254" s="11"/>
      <c r="E1254" s="17"/>
      <c r="F1254" s="12"/>
      <c r="G1254" s="8">
        <f t="shared" si="19"/>
        <v>0</v>
      </c>
      <c r="H1254" s="1"/>
    </row>
    <row r="1255" spans="1:8" ht="15.75" customHeight="1">
      <c r="A1255" s="6">
        <v>1251</v>
      </c>
      <c r="B1255" s="11" t="s">
        <v>1186</v>
      </c>
      <c r="C1255" s="11">
        <f xml:space="preserve">     30350</f>
        <v>30350</v>
      </c>
      <c r="D1255" s="11"/>
      <c r="E1255" s="17"/>
      <c r="F1255" s="12"/>
      <c r="G1255" s="8">
        <f t="shared" si="19"/>
        <v>0</v>
      </c>
      <c r="H1255" s="1"/>
    </row>
    <row r="1256" spans="1:8" ht="15.75" customHeight="1">
      <c r="A1256" s="6">
        <v>1252</v>
      </c>
      <c r="B1256" s="11" t="s">
        <v>1187</v>
      </c>
      <c r="C1256" s="11">
        <f xml:space="preserve">     29550</f>
        <v>29550</v>
      </c>
      <c r="D1256" s="11"/>
      <c r="E1256" s="17"/>
      <c r="F1256" s="12"/>
      <c r="G1256" s="8">
        <f t="shared" si="19"/>
        <v>0</v>
      </c>
      <c r="H1256" s="1"/>
    </row>
    <row r="1257" spans="1:8" ht="15.75" customHeight="1">
      <c r="A1257" s="6">
        <v>1253</v>
      </c>
      <c r="B1257" s="11" t="s">
        <v>1188</v>
      </c>
      <c r="C1257" s="11">
        <f xml:space="preserve">     28750</f>
        <v>28750</v>
      </c>
      <c r="D1257" s="11"/>
      <c r="E1257" s="17"/>
      <c r="F1257" s="12"/>
      <c r="G1257" s="8">
        <f t="shared" si="19"/>
        <v>0</v>
      </c>
      <c r="H1257" s="1"/>
    </row>
    <row r="1258" spans="1:8" ht="15.75" customHeight="1">
      <c r="A1258" s="6">
        <v>1254</v>
      </c>
      <c r="B1258" s="11" t="s">
        <v>1189</v>
      </c>
      <c r="C1258" s="11">
        <f xml:space="preserve">       950</f>
        <v>950</v>
      </c>
      <c r="D1258" s="11"/>
      <c r="E1258" s="17"/>
      <c r="F1258" s="12"/>
      <c r="G1258" s="8">
        <f t="shared" si="19"/>
        <v>0</v>
      </c>
      <c r="H1258" s="1"/>
    </row>
    <row r="1259" spans="1:8" ht="15.75" customHeight="1">
      <c r="A1259" s="6">
        <v>1255</v>
      </c>
      <c r="B1259" s="11" t="s">
        <v>1190</v>
      </c>
      <c r="C1259" s="11">
        <f xml:space="preserve">     26900</f>
        <v>26900</v>
      </c>
      <c r="D1259" s="11"/>
      <c r="E1259" s="17"/>
      <c r="F1259" s="12"/>
      <c r="G1259" s="8">
        <f t="shared" si="19"/>
        <v>0</v>
      </c>
      <c r="H1259" s="1"/>
    </row>
    <row r="1260" spans="1:8" ht="15.75" customHeight="1">
      <c r="A1260" s="6">
        <v>1256</v>
      </c>
      <c r="B1260" s="11" t="s">
        <v>1191</v>
      </c>
      <c r="C1260" s="11">
        <f xml:space="preserve">      5800</f>
        <v>5800</v>
      </c>
      <c r="D1260" s="11"/>
      <c r="E1260" s="17"/>
      <c r="F1260" s="12"/>
      <c r="G1260" s="8">
        <f t="shared" si="19"/>
        <v>0</v>
      </c>
      <c r="H1260" s="1"/>
    </row>
    <row r="1261" spans="1:8" ht="15.75" customHeight="1">
      <c r="A1261" s="6">
        <v>1257</v>
      </c>
      <c r="B1261" s="11" t="s">
        <v>1192</v>
      </c>
      <c r="C1261" s="11">
        <f xml:space="preserve">     26900</f>
        <v>26900</v>
      </c>
      <c r="D1261" s="11"/>
      <c r="E1261" s="17"/>
      <c r="F1261" s="12"/>
      <c r="G1261" s="8">
        <f t="shared" si="19"/>
        <v>0</v>
      </c>
      <c r="H1261" s="1"/>
    </row>
    <row r="1262" spans="1:8" ht="15.75" customHeight="1">
      <c r="A1262" s="6">
        <v>1258</v>
      </c>
      <c r="B1262" s="11" t="s">
        <v>1193</v>
      </c>
      <c r="C1262" s="11">
        <f xml:space="preserve">     54650</f>
        <v>54650</v>
      </c>
      <c r="D1262" s="11"/>
      <c r="E1262" s="17"/>
      <c r="F1262" s="12"/>
      <c r="G1262" s="8">
        <f t="shared" si="19"/>
        <v>0</v>
      </c>
      <c r="H1262" s="1"/>
    </row>
    <row r="1263" spans="1:8" ht="15.75" customHeight="1">
      <c r="A1263" s="6">
        <v>1259</v>
      </c>
      <c r="B1263" s="11" t="s">
        <v>1194</v>
      </c>
      <c r="C1263" s="11">
        <f xml:space="preserve">     23150</f>
        <v>23150</v>
      </c>
      <c r="D1263" s="11"/>
      <c r="E1263" s="17"/>
      <c r="F1263" s="12"/>
      <c r="G1263" s="8">
        <f t="shared" si="19"/>
        <v>0</v>
      </c>
      <c r="H1263" s="1"/>
    </row>
    <row r="1264" spans="1:8" ht="15.75" customHeight="1">
      <c r="A1264" s="6">
        <v>1260</v>
      </c>
      <c r="B1264" s="11" t="s">
        <v>1195</v>
      </c>
      <c r="C1264" s="11">
        <f xml:space="preserve">     76600</f>
        <v>76600</v>
      </c>
      <c r="D1264" s="11"/>
      <c r="E1264" s="17"/>
      <c r="F1264" s="12"/>
      <c r="G1264" s="8">
        <f t="shared" si="19"/>
        <v>0</v>
      </c>
      <c r="H1264" s="1"/>
    </row>
    <row r="1265" spans="1:8" ht="15.75" customHeight="1">
      <c r="A1265" s="6">
        <v>1261</v>
      </c>
      <c r="B1265" s="11" t="s">
        <v>1196</v>
      </c>
      <c r="C1265" s="11">
        <f xml:space="preserve">     51850</f>
        <v>51850</v>
      </c>
      <c r="D1265" s="11"/>
      <c r="E1265" s="17"/>
      <c r="F1265" s="12"/>
      <c r="G1265" s="8">
        <f t="shared" si="19"/>
        <v>0</v>
      </c>
      <c r="H1265" s="1"/>
    </row>
    <row r="1266" spans="1:8" ht="15.75" customHeight="1">
      <c r="A1266" s="6">
        <v>1262</v>
      </c>
      <c r="B1266" s="11" t="s">
        <v>1197</v>
      </c>
      <c r="C1266" s="11">
        <f xml:space="preserve">     43350</f>
        <v>43350</v>
      </c>
      <c r="D1266" s="11"/>
      <c r="E1266" s="17"/>
      <c r="F1266" s="12"/>
      <c r="G1266" s="8">
        <f t="shared" si="19"/>
        <v>0</v>
      </c>
      <c r="H1266" s="1"/>
    </row>
    <row r="1267" spans="1:8" ht="15.75" customHeight="1">
      <c r="A1267" s="6">
        <v>1263</v>
      </c>
      <c r="B1267" s="11" t="s">
        <v>1198</v>
      </c>
      <c r="C1267" s="11">
        <f xml:space="preserve">     37200</f>
        <v>37200</v>
      </c>
      <c r="D1267" s="11"/>
      <c r="E1267" s="17"/>
      <c r="F1267" s="12"/>
      <c r="G1267" s="8">
        <f t="shared" si="19"/>
        <v>0</v>
      </c>
      <c r="H1267" s="1"/>
    </row>
    <row r="1268" spans="1:8" ht="15.75" customHeight="1">
      <c r="A1268" s="6">
        <v>1264</v>
      </c>
      <c r="B1268" s="11" t="s">
        <v>1199</v>
      </c>
      <c r="C1268" s="11">
        <f xml:space="preserve">     33100</f>
        <v>33100</v>
      </c>
      <c r="D1268" s="11"/>
      <c r="E1268" s="17"/>
      <c r="F1268" s="12"/>
      <c r="G1268" s="8">
        <f t="shared" si="19"/>
        <v>0</v>
      </c>
      <c r="H1268" s="1"/>
    </row>
    <row r="1269" spans="1:8" ht="15.75" customHeight="1">
      <c r="A1269" s="6">
        <v>1265</v>
      </c>
      <c r="B1269" s="11" t="s">
        <v>1200</v>
      </c>
      <c r="C1269" s="11">
        <f xml:space="preserve">     23100</f>
        <v>23100</v>
      </c>
      <c r="D1269" s="11"/>
      <c r="E1269" s="17"/>
      <c r="F1269" s="12"/>
      <c r="G1269" s="8">
        <f t="shared" si="19"/>
        <v>0</v>
      </c>
      <c r="H1269" s="1"/>
    </row>
    <row r="1270" spans="1:8" ht="15.75" customHeight="1">
      <c r="A1270" s="6">
        <v>1266</v>
      </c>
      <c r="B1270" s="11" t="s">
        <v>1201</v>
      </c>
      <c r="C1270" s="11">
        <f xml:space="preserve">     93900</f>
        <v>93900</v>
      </c>
      <c r="D1270" s="11"/>
      <c r="E1270" s="17"/>
      <c r="F1270" s="12"/>
      <c r="G1270" s="8">
        <f t="shared" si="19"/>
        <v>0</v>
      </c>
      <c r="H1270" s="1"/>
    </row>
    <row r="1271" spans="1:8" ht="15.75" customHeight="1">
      <c r="A1271" s="6">
        <v>1267</v>
      </c>
      <c r="B1271" s="11" t="s">
        <v>1202</v>
      </c>
      <c r="C1271" s="11">
        <f xml:space="preserve">     70750</f>
        <v>70750</v>
      </c>
      <c r="D1271" s="11"/>
      <c r="E1271" s="17"/>
      <c r="F1271" s="12"/>
      <c r="G1271" s="8">
        <f t="shared" si="19"/>
        <v>0</v>
      </c>
      <c r="H1271" s="1"/>
    </row>
    <row r="1272" spans="1:8" ht="15.75" customHeight="1">
      <c r="A1272" s="6">
        <v>1268</v>
      </c>
      <c r="B1272" s="11" t="s">
        <v>1203</v>
      </c>
      <c r="C1272" s="11">
        <f xml:space="preserve">     61350</f>
        <v>61350</v>
      </c>
      <c r="D1272" s="11"/>
      <c r="E1272" s="17"/>
      <c r="F1272" s="12"/>
      <c r="G1272" s="8">
        <f t="shared" si="19"/>
        <v>0</v>
      </c>
      <c r="H1272" s="1"/>
    </row>
    <row r="1273" spans="1:8" ht="15.75" customHeight="1">
      <c r="A1273" s="6">
        <v>1269</v>
      </c>
      <c r="B1273" s="11" t="s">
        <v>1204</v>
      </c>
      <c r="C1273" s="11">
        <f xml:space="preserve">     71000</f>
        <v>71000</v>
      </c>
      <c r="D1273" s="11"/>
      <c r="E1273" s="17"/>
      <c r="F1273" s="12"/>
      <c r="G1273" s="8">
        <f t="shared" si="19"/>
        <v>0</v>
      </c>
      <c r="H1273" s="1"/>
    </row>
    <row r="1274" spans="1:8" ht="15.75" customHeight="1">
      <c r="A1274" s="6">
        <v>1270</v>
      </c>
      <c r="B1274" s="11" t="s">
        <v>1205</v>
      </c>
      <c r="C1274" s="11">
        <f xml:space="preserve">     41300</f>
        <v>41300</v>
      </c>
      <c r="D1274" s="11"/>
      <c r="E1274" s="17"/>
      <c r="F1274" s="12"/>
      <c r="G1274" s="8">
        <f t="shared" si="19"/>
        <v>0</v>
      </c>
      <c r="H1274" s="1"/>
    </row>
    <row r="1275" spans="1:8" ht="15.75" customHeight="1">
      <c r="A1275" s="6">
        <v>1271</v>
      </c>
      <c r="B1275" s="11" t="s">
        <v>1206</v>
      </c>
      <c r="C1275" s="11">
        <f xml:space="preserve">     57550</f>
        <v>57550</v>
      </c>
      <c r="D1275" s="11"/>
      <c r="E1275" s="17"/>
      <c r="F1275" s="12"/>
      <c r="G1275" s="8">
        <f t="shared" si="19"/>
        <v>0</v>
      </c>
      <c r="H1275" s="1"/>
    </row>
    <row r="1276" spans="1:8" ht="15.75" customHeight="1">
      <c r="A1276" s="6">
        <v>1272</v>
      </c>
      <c r="B1276" s="11" t="s">
        <v>1207</v>
      </c>
      <c r="C1276" s="11">
        <f xml:space="preserve">     81000</f>
        <v>81000</v>
      </c>
      <c r="D1276" s="11"/>
      <c r="E1276" s="17"/>
      <c r="F1276" s="12"/>
      <c r="G1276" s="8">
        <f t="shared" si="19"/>
        <v>0</v>
      </c>
      <c r="H1276" s="1"/>
    </row>
    <row r="1277" spans="1:8" ht="15.75" customHeight="1">
      <c r="A1277" s="6">
        <v>1273</v>
      </c>
      <c r="B1277" s="11" t="s">
        <v>1208</v>
      </c>
      <c r="C1277" s="11">
        <f xml:space="preserve">      7300</f>
        <v>7300</v>
      </c>
      <c r="D1277" s="11"/>
      <c r="E1277" s="17"/>
      <c r="F1277" s="12"/>
      <c r="G1277" s="8">
        <f t="shared" si="19"/>
        <v>0</v>
      </c>
      <c r="H1277" s="1"/>
    </row>
    <row r="1278" spans="1:8" ht="15.75" customHeight="1">
      <c r="A1278" s="6">
        <v>1274</v>
      </c>
      <c r="B1278" s="11" t="s">
        <v>1209</v>
      </c>
      <c r="C1278" s="11">
        <f xml:space="preserve">     88700</f>
        <v>88700</v>
      </c>
      <c r="D1278" s="11"/>
      <c r="E1278" s="17"/>
      <c r="F1278" s="12"/>
      <c r="G1278" s="8">
        <f t="shared" si="19"/>
        <v>0</v>
      </c>
      <c r="H1278" s="1"/>
    </row>
    <row r="1279" spans="1:8" ht="15.75" customHeight="1">
      <c r="A1279" s="6">
        <v>1275</v>
      </c>
      <c r="B1279" s="11" t="s">
        <v>1210</v>
      </c>
      <c r="C1279" s="11">
        <f xml:space="preserve">     66000</f>
        <v>66000</v>
      </c>
      <c r="D1279" s="11"/>
      <c r="E1279" s="17"/>
      <c r="F1279" s="12"/>
      <c r="G1279" s="8">
        <f t="shared" si="19"/>
        <v>0</v>
      </c>
      <c r="H1279" s="1"/>
    </row>
    <row r="1280" spans="1:8" ht="15.75" customHeight="1">
      <c r="A1280" s="6">
        <v>1276</v>
      </c>
      <c r="B1280" s="11" t="s">
        <v>1211</v>
      </c>
      <c r="C1280" s="11">
        <f xml:space="preserve">     92400</f>
        <v>92400</v>
      </c>
      <c r="D1280" s="11"/>
      <c r="E1280" s="17"/>
      <c r="F1280" s="12"/>
      <c r="G1280" s="8">
        <f t="shared" si="19"/>
        <v>0</v>
      </c>
      <c r="H1280" s="1"/>
    </row>
    <row r="1281" spans="1:8" ht="15.75" customHeight="1">
      <c r="A1281" s="6">
        <v>1277</v>
      </c>
      <c r="B1281" s="11" t="s">
        <v>1212</v>
      </c>
      <c r="C1281" s="11">
        <f xml:space="preserve">     25400</f>
        <v>25400</v>
      </c>
      <c r="D1281" s="11"/>
      <c r="E1281" s="17"/>
      <c r="F1281" s="12"/>
      <c r="G1281" s="8">
        <f t="shared" si="19"/>
        <v>0</v>
      </c>
      <c r="H1281" s="1"/>
    </row>
    <row r="1282" spans="1:8" ht="15.75" customHeight="1">
      <c r="A1282" s="6">
        <v>1278</v>
      </c>
      <c r="B1282" s="11" t="s">
        <v>1213</v>
      </c>
      <c r="C1282" s="11">
        <f xml:space="preserve">     30000</f>
        <v>30000</v>
      </c>
      <c r="D1282" s="11"/>
      <c r="E1282" s="17"/>
      <c r="F1282" s="12"/>
      <c r="G1282" s="8">
        <f t="shared" si="19"/>
        <v>0</v>
      </c>
      <c r="H1282" s="1"/>
    </row>
    <row r="1283" spans="1:8" ht="15.75" customHeight="1">
      <c r="A1283" s="6">
        <v>1279</v>
      </c>
      <c r="B1283" s="11" t="s">
        <v>1214</v>
      </c>
      <c r="C1283" s="11">
        <f xml:space="preserve">     15550</f>
        <v>15550</v>
      </c>
      <c r="D1283" s="11"/>
      <c r="E1283" s="17"/>
      <c r="F1283" s="12"/>
      <c r="G1283" s="8">
        <f t="shared" si="19"/>
        <v>0</v>
      </c>
      <c r="H1283" s="1"/>
    </row>
    <row r="1284" spans="1:8" ht="15.75" customHeight="1">
      <c r="A1284" s="6">
        <v>1280</v>
      </c>
      <c r="B1284" s="11" t="s">
        <v>1215</v>
      </c>
      <c r="C1284" s="11">
        <f xml:space="preserve">     25900</f>
        <v>25900</v>
      </c>
      <c r="D1284" s="11"/>
      <c r="E1284" s="17"/>
      <c r="F1284" s="12"/>
      <c r="G1284" s="8">
        <f t="shared" ref="G1284:G1347" si="20">C1284*D1284+E1284*F1284</f>
        <v>0</v>
      </c>
      <c r="H1284" s="1"/>
    </row>
    <row r="1285" spans="1:8" ht="15.75" customHeight="1">
      <c r="A1285" s="6">
        <v>1281</v>
      </c>
      <c r="B1285" s="11" t="s">
        <v>1216</v>
      </c>
      <c r="C1285" s="11">
        <f xml:space="preserve">     57500</f>
        <v>57500</v>
      </c>
      <c r="D1285" s="11"/>
      <c r="E1285" s="17"/>
      <c r="F1285" s="12"/>
      <c r="G1285" s="8">
        <f t="shared" si="20"/>
        <v>0</v>
      </c>
      <c r="H1285" s="1"/>
    </row>
    <row r="1286" spans="1:8" ht="15.75" customHeight="1">
      <c r="A1286" s="6">
        <v>1282</v>
      </c>
      <c r="B1286" s="11" t="s">
        <v>1217</v>
      </c>
      <c r="C1286" s="11">
        <f xml:space="preserve">     73500</f>
        <v>73500</v>
      </c>
      <c r="D1286" s="11"/>
      <c r="E1286" s="17"/>
      <c r="F1286" s="12"/>
      <c r="G1286" s="8">
        <f t="shared" si="20"/>
        <v>0</v>
      </c>
      <c r="H1286" s="1"/>
    </row>
    <row r="1287" spans="1:8" ht="15.75" customHeight="1">
      <c r="A1287" s="6">
        <v>1283</v>
      </c>
      <c r="B1287" s="11" t="s">
        <v>1218</v>
      </c>
      <c r="C1287" s="11">
        <f xml:space="preserve">     82300</f>
        <v>82300</v>
      </c>
      <c r="D1287" s="11"/>
      <c r="E1287" s="17"/>
      <c r="F1287" s="12"/>
      <c r="G1287" s="8">
        <f t="shared" si="20"/>
        <v>0</v>
      </c>
      <c r="H1287" s="1"/>
    </row>
    <row r="1288" spans="1:8" ht="15.75" customHeight="1">
      <c r="A1288" s="6">
        <v>1284</v>
      </c>
      <c r="B1288" s="11" t="s">
        <v>1219</v>
      </c>
      <c r="C1288" s="11">
        <f xml:space="preserve">      4150</f>
        <v>4150</v>
      </c>
      <c r="D1288" s="11"/>
      <c r="E1288" s="17"/>
      <c r="F1288" s="12"/>
      <c r="G1288" s="8">
        <f t="shared" si="20"/>
        <v>0</v>
      </c>
      <c r="H1288" s="1"/>
    </row>
    <row r="1289" spans="1:8" ht="15.75" customHeight="1">
      <c r="A1289" s="6">
        <v>1285</v>
      </c>
      <c r="B1289" s="11" t="s">
        <v>1220</v>
      </c>
      <c r="C1289" s="11">
        <f xml:space="preserve">      8200</f>
        <v>8200</v>
      </c>
      <c r="D1289" s="11"/>
      <c r="E1289" s="17"/>
      <c r="F1289" s="12"/>
      <c r="G1289" s="8">
        <f t="shared" si="20"/>
        <v>0</v>
      </c>
      <c r="H1289" s="1"/>
    </row>
    <row r="1290" spans="1:8" ht="15.75" customHeight="1">
      <c r="A1290" s="6">
        <v>1286</v>
      </c>
      <c r="B1290" s="11" t="s">
        <v>1221</v>
      </c>
      <c r="C1290" s="11">
        <f xml:space="preserve">     43450</f>
        <v>43450</v>
      </c>
      <c r="D1290" s="11"/>
      <c r="E1290" s="17"/>
      <c r="F1290" s="12"/>
      <c r="G1290" s="8">
        <f t="shared" si="20"/>
        <v>0</v>
      </c>
      <c r="H1290" s="1"/>
    </row>
    <row r="1291" spans="1:8" ht="15.75" customHeight="1">
      <c r="A1291" s="6">
        <v>1287</v>
      </c>
      <c r="B1291" s="11" t="s">
        <v>1222</v>
      </c>
      <c r="C1291" s="11">
        <f xml:space="preserve">     51500</f>
        <v>51500</v>
      </c>
      <c r="D1291" s="11"/>
      <c r="E1291" s="17"/>
      <c r="F1291" s="12"/>
      <c r="G1291" s="8">
        <f t="shared" si="20"/>
        <v>0</v>
      </c>
      <c r="H1291" s="1"/>
    </row>
    <row r="1292" spans="1:8" ht="15.75" customHeight="1">
      <c r="A1292" s="6">
        <v>1288</v>
      </c>
      <c r="B1292" s="11" t="s">
        <v>1223</v>
      </c>
      <c r="C1292" s="11">
        <f xml:space="preserve">     29450</f>
        <v>29450</v>
      </c>
      <c r="D1292" s="11"/>
      <c r="E1292" s="17"/>
      <c r="F1292" s="12"/>
      <c r="G1292" s="8">
        <f t="shared" si="20"/>
        <v>0</v>
      </c>
      <c r="H1292" s="1"/>
    </row>
    <row r="1293" spans="1:8" ht="15.75" customHeight="1">
      <c r="A1293" s="6">
        <v>1289</v>
      </c>
      <c r="B1293" s="11" t="s">
        <v>1224</v>
      </c>
      <c r="C1293" s="11">
        <f xml:space="preserve">     28750</f>
        <v>28750</v>
      </c>
      <c r="D1293" s="11"/>
      <c r="E1293" s="17"/>
      <c r="F1293" s="12"/>
      <c r="G1293" s="8">
        <f t="shared" si="20"/>
        <v>0</v>
      </c>
      <c r="H1293" s="1"/>
    </row>
    <row r="1294" spans="1:8" ht="15.75" customHeight="1">
      <c r="A1294" s="6">
        <v>1290</v>
      </c>
      <c r="B1294" s="11" t="s">
        <v>1225</v>
      </c>
      <c r="C1294" s="11">
        <f xml:space="preserve">      1700</f>
        <v>1700</v>
      </c>
      <c r="D1294" s="11"/>
      <c r="E1294" s="17"/>
      <c r="F1294" s="12"/>
      <c r="G1294" s="8">
        <f t="shared" si="20"/>
        <v>0</v>
      </c>
      <c r="H1294" s="1"/>
    </row>
    <row r="1295" spans="1:8" ht="15.75" customHeight="1">
      <c r="A1295" s="6">
        <v>1291</v>
      </c>
      <c r="B1295" s="11" t="s">
        <v>1226</v>
      </c>
      <c r="C1295" s="11">
        <f xml:space="preserve">     62100</f>
        <v>62100</v>
      </c>
      <c r="D1295" s="11"/>
      <c r="E1295" s="17"/>
      <c r="F1295" s="12"/>
      <c r="G1295" s="8">
        <f t="shared" si="20"/>
        <v>0</v>
      </c>
      <c r="H1295" s="1"/>
    </row>
    <row r="1296" spans="1:8" ht="15.75" customHeight="1">
      <c r="A1296" s="6">
        <v>1292</v>
      </c>
      <c r="B1296" s="11" t="s">
        <v>1227</v>
      </c>
      <c r="C1296" s="11">
        <f xml:space="preserve">     34000</f>
        <v>34000</v>
      </c>
      <c r="D1296" s="11"/>
      <c r="E1296" s="17"/>
      <c r="F1296" s="12"/>
      <c r="G1296" s="8">
        <f t="shared" si="20"/>
        <v>0</v>
      </c>
      <c r="H1296" s="1"/>
    </row>
    <row r="1297" spans="1:8" ht="15.75" customHeight="1">
      <c r="A1297" s="6">
        <v>1293</v>
      </c>
      <c r="B1297" s="11" t="s">
        <v>1228</v>
      </c>
      <c r="C1297" s="11">
        <f xml:space="preserve">     27800</f>
        <v>27800</v>
      </c>
      <c r="D1297" s="11"/>
      <c r="E1297" s="17"/>
      <c r="F1297" s="12"/>
      <c r="G1297" s="8">
        <f t="shared" si="20"/>
        <v>0</v>
      </c>
      <c r="H1297" s="1"/>
    </row>
    <row r="1298" spans="1:8" ht="15.75" customHeight="1">
      <c r="A1298" s="6">
        <v>1294</v>
      </c>
      <c r="B1298" s="11" t="s">
        <v>1229</v>
      </c>
      <c r="C1298" s="11">
        <f xml:space="preserve">     27800</f>
        <v>27800</v>
      </c>
      <c r="D1298" s="11"/>
      <c r="E1298" s="17"/>
      <c r="F1298" s="12"/>
      <c r="G1298" s="8">
        <f t="shared" si="20"/>
        <v>0</v>
      </c>
      <c r="H1298" s="1"/>
    </row>
    <row r="1299" spans="1:8" ht="15.75" customHeight="1">
      <c r="A1299" s="6">
        <v>1295</v>
      </c>
      <c r="B1299" s="11" t="s">
        <v>1230</v>
      </c>
      <c r="C1299" s="11">
        <f xml:space="preserve">     29250</f>
        <v>29250</v>
      </c>
      <c r="D1299" s="11"/>
      <c r="E1299" s="17"/>
      <c r="F1299" s="12"/>
      <c r="G1299" s="8">
        <f t="shared" si="20"/>
        <v>0</v>
      </c>
      <c r="H1299" s="1"/>
    </row>
    <row r="1300" spans="1:8" ht="15.75" customHeight="1">
      <c r="A1300" s="6">
        <v>1296</v>
      </c>
      <c r="B1300" s="11" t="s">
        <v>1231</v>
      </c>
      <c r="C1300" s="11">
        <f xml:space="preserve">     41450</f>
        <v>41450</v>
      </c>
      <c r="D1300" s="11"/>
      <c r="E1300" s="17"/>
      <c r="F1300" s="12"/>
      <c r="G1300" s="8">
        <f t="shared" si="20"/>
        <v>0</v>
      </c>
      <c r="H1300" s="1"/>
    </row>
    <row r="1301" spans="1:8" ht="15.75" customHeight="1">
      <c r="A1301" s="6">
        <v>1297</v>
      </c>
      <c r="B1301" s="11" t="s">
        <v>1232</v>
      </c>
      <c r="C1301" s="11">
        <f xml:space="preserve">     41450</f>
        <v>41450</v>
      </c>
      <c r="D1301" s="11"/>
      <c r="E1301" s="17"/>
      <c r="F1301" s="12"/>
      <c r="G1301" s="8">
        <f t="shared" si="20"/>
        <v>0</v>
      </c>
      <c r="H1301" s="1"/>
    </row>
    <row r="1302" spans="1:8" ht="15.75" customHeight="1">
      <c r="A1302" s="6">
        <v>1298</v>
      </c>
      <c r="B1302" s="11" t="s">
        <v>1233</v>
      </c>
      <c r="C1302" s="11">
        <f xml:space="preserve">     41450</f>
        <v>41450</v>
      </c>
      <c r="D1302" s="11"/>
      <c r="E1302" s="17"/>
      <c r="F1302" s="12"/>
      <c r="G1302" s="8">
        <f t="shared" si="20"/>
        <v>0</v>
      </c>
      <c r="H1302" s="1"/>
    </row>
    <row r="1303" spans="1:8" ht="15.75" customHeight="1">
      <c r="A1303" s="6">
        <v>1299</v>
      </c>
      <c r="B1303" s="11" t="s">
        <v>1234</v>
      </c>
      <c r="C1303" s="11">
        <f xml:space="preserve">     56700</f>
        <v>56700</v>
      </c>
      <c r="D1303" s="11"/>
      <c r="E1303" s="17"/>
      <c r="F1303" s="12"/>
      <c r="G1303" s="8">
        <f t="shared" si="20"/>
        <v>0</v>
      </c>
      <c r="H1303" s="1"/>
    </row>
    <row r="1304" spans="1:8" ht="15.75" customHeight="1">
      <c r="A1304" s="6">
        <v>1300</v>
      </c>
      <c r="B1304" s="11" t="s">
        <v>1235</v>
      </c>
      <c r="C1304" s="11">
        <f xml:space="preserve">     64650</f>
        <v>64650</v>
      </c>
      <c r="D1304" s="11"/>
      <c r="E1304" s="17"/>
      <c r="F1304" s="12"/>
      <c r="G1304" s="8">
        <f t="shared" si="20"/>
        <v>0</v>
      </c>
      <c r="H1304" s="1"/>
    </row>
    <row r="1305" spans="1:8" ht="15.75" customHeight="1">
      <c r="A1305" s="6">
        <v>1301</v>
      </c>
      <c r="B1305" s="11" t="s">
        <v>1236</v>
      </c>
      <c r="C1305" s="11">
        <f xml:space="preserve">      7250</f>
        <v>7250</v>
      </c>
      <c r="D1305" s="11"/>
      <c r="E1305" s="17"/>
      <c r="F1305" s="12"/>
      <c r="G1305" s="8">
        <f t="shared" si="20"/>
        <v>0</v>
      </c>
      <c r="H1305" s="1"/>
    </row>
    <row r="1306" spans="1:8" ht="15.75" customHeight="1">
      <c r="A1306" s="6">
        <v>1302</v>
      </c>
      <c r="B1306" s="11" t="s">
        <v>1237</v>
      </c>
      <c r="C1306" s="11">
        <f xml:space="preserve">     35900</f>
        <v>35900</v>
      </c>
      <c r="D1306" s="11"/>
      <c r="E1306" s="17"/>
      <c r="F1306" s="12"/>
      <c r="G1306" s="8">
        <f t="shared" si="20"/>
        <v>0</v>
      </c>
      <c r="H1306" s="1"/>
    </row>
    <row r="1307" spans="1:8" ht="15.75" customHeight="1">
      <c r="A1307" s="6">
        <v>1303</v>
      </c>
      <c r="B1307" s="11" t="s">
        <v>1238</v>
      </c>
      <c r="C1307" s="11">
        <f xml:space="preserve">     19800</f>
        <v>19800</v>
      </c>
      <c r="D1307" s="11"/>
      <c r="E1307" s="17"/>
      <c r="F1307" s="12"/>
      <c r="G1307" s="8">
        <f t="shared" si="20"/>
        <v>0</v>
      </c>
      <c r="H1307" s="1"/>
    </row>
    <row r="1308" spans="1:8" ht="15.75" customHeight="1">
      <c r="A1308" s="6">
        <v>1304</v>
      </c>
      <c r="B1308" s="11" t="s">
        <v>1239</v>
      </c>
      <c r="C1308" s="11">
        <f xml:space="preserve">      2150</f>
        <v>2150</v>
      </c>
      <c r="D1308" s="11"/>
      <c r="E1308" s="17"/>
      <c r="F1308" s="12"/>
      <c r="G1308" s="8">
        <f t="shared" si="20"/>
        <v>0</v>
      </c>
      <c r="H1308" s="1"/>
    </row>
    <row r="1309" spans="1:8" ht="15.75" customHeight="1">
      <c r="A1309" s="6">
        <v>1305</v>
      </c>
      <c r="B1309" s="11" t="s">
        <v>1240</v>
      </c>
      <c r="C1309" s="11">
        <f xml:space="preserve">      3300</f>
        <v>3300</v>
      </c>
      <c r="D1309" s="11"/>
      <c r="E1309" s="17"/>
      <c r="F1309" s="12"/>
      <c r="G1309" s="8">
        <f t="shared" si="20"/>
        <v>0</v>
      </c>
      <c r="H1309" s="1"/>
    </row>
    <row r="1310" spans="1:8" ht="15.75" customHeight="1">
      <c r="A1310" s="6">
        <v>1306</v>
      </c>
      <c r="B1310" s="11" t="s">
        <v>1241</v>
      </c>
      <c r="C1310" s="11">
        <f xml:space="preserve">      4200</f>
        <v>4200</v>
      </c>
      <c r="D1310" s="11"/>
      <c r="E1310" s="17"/>
      <c r="F1310" s="12"/>
      <c r="G1310" s="8">
        <f t="shared" si="20"/>
        <v>0</v>
      </c>
      <c r="H1310" s="1"/>
    </row>
    <row r="1311" spans="1:8" ht="15.75" customHeight="1">
      <c r="A1311" s="6">
        <v>1307</v>
      </c>
      <c r="B1311" s="11" t="s">
        <v>1242</v>
      </c>
      <c r="C1311" s="11">
        <f xml:space="preserve">      6200</f>
        <v>6200</v>
      </c>
      <c r="D1311" s="11"/>
      <c r="E1311" s="17"/>
      <c r="F1311" s="12"/>
      <c r="G1311" s="8">
        <f t="shared" si="20"/>
        <v>0</v>
      </c>
      <c r="H1311" s="1"/>
    </row>
    <row r="1312" spans="1:8" ht="15.75" customHeight="1">
      <c r="A1312" s="6">
        <v>1308</v>
      </c>
      <c r="B1312" s="11" t="s">
        <v>1243</v>
      </c>
      <c r="C1312" s="11">
        <f xml:space="preserve">      9900</f>
        <v>9900</v>
      </c>
      <c r="D1312" s="11"/>
      <c r="E1312" s="17"/>
      <c r="F1312" s="12"/>
      <c r="G1312" s="8">
        <f t="shared" si="20"/>
        <v>0</v>
      </c>
      <c r="H1312" s="1"/>
    </row>
    <row r="1313" spans="1:8" ht="15.75" customHeight="1">
      <c r="A1313" s="6">
        <v>1309</v>
      </c>
      <c r="B1313" s="11" t="s">
        <v>1244</v>
      </c>
      <c r="C1313" s="11">
        <f xml:space="preserve">       370</f>
        <v>370</v>
      </c>
      <c r="D1313" s="11"/>
      <c r="E1313" s="17"/>
      <c r="F1313" s="12"/>
      <c r="G1313" s="8">
        <f t="shared" si="20"/>
        <v>0</v>
      </c>
      <c r="H1313" s="1"/>
    </row>
    <row r="1314" spans="1:8" ht="15.75" customHeight="1">
      <c r="A1314" s="6">
        <v>1310</v>
      </c>
      <c r="B1314" s="11" t="s">
        <v>1245</v>
      </c>
      <c r="C1314" s="11">
        <f xml:space="preserve">      7100</f>
        <v>7100</v>
      </c>
      <c r="D1314" s="11"/>
      <c r="E1314" s="17"/>
      <c r="F1314" s="12"/>
      <c r="G1314" s="8">
        <f t="shared" si="20"/>
        <v>0</v>
      </c>
      <c r="H1314" s="1"/>
    </row>
    <row r="1315" spans="1:8" ht="15.75" customHeight="1">
      <c r="A1315" s="6">
        <v>1311</v>
      </c>
      <c r="B1315" s="11" t="s">
        <v>1246</v>
      </c>
      <c r="C1315" s="11">
        <f xml:space="preserve">      1600</f>
        <v>1600</v>
      </c>
      <c r="D1315" s="11"/>
      <c r="E1315" s="17"/>
      <c r="F1315" s="12"/>
      <c r="G1315" s="8">
        <f t="shared" si="20"/>
        <v>0</v>
      </c>
      <c r="H1315" s="1"/>
    </row>
    <row r="1316" spans="1:8" ht="15.75" customHeight="1">
      <c r="A1316" s="6">
        <v>1312</v>
      </c>
      <c r="B1316" s="11" t="s">
        <v>1247</v>
      </c>
      <c r="C1316" s="11">
        <f xml:space="preserve">      2600</f>
        <v>2600</v>
      </c>
      <c r="D1316" s="11"/>
      <c r="E1316" s="17"/>
      <c r="F1316" s="12"/>
      <c r="G1316" s="8">
        <f t="shared" si="20"/>
        <v>0</v>
      </c>
      <c r="H1316" s="1"/>
    </row>
    <row r="1317" spans="1:8" ht="15.75" customHeight="1">
      <c r="A1317" s="6">
        <v>1313</v>
      </c>
      <c r="B1317" s="11" t="s">
        <v>1248</v>
      </c>
      <c r="C1317" s="11">
        <f xml:space="preserve">      1600</f>
        <v>1600</v>
      </c>
      <c r="D1317" s="11"/>
      <c r="E1317" s="17"/>
      <c r="F1317" s="12"/>
      <c r="G1317" s="8">
        <f t="shared" si="20"/>
        <v>0</v>
      </c>
      <c r="H1317" s="1"/>
    </row>
    <row r="1318" spans="1:8" ht="15.75" customHeight="1">
      <c r="A1318" s="6">
        <v>1314</v>
      </c>
      <c r="B1318" s="11" t="s">
        <v>1249</v>
      </c>
      <c r="C1318" s="11">
        <f xml:space="preserve">      3600</f>
        <v>3600</v>
      </c>
      <c r="D1318" s="11"/>
      <c r="E1318" s="17"/>
      <c r="F1318" s="12"/>
      <c r="G1318" s="8">
        <f t="shared" si="20"/>
        <v>0</v>
      </c>
      <c r="H1318" s="1"/>
    </row>
    <row r="1319" spans="1:8" ht="15.75" customHeight="1">
      <c r="A1319" s="6">
        <v>1315</v>
      </c>
      <c r="B1319" s="11" t="s">
        <v>1250</v>
      </c>
      <c r="C1319" s="11">
        <f xml:space="preserve">      2900</f>
        <v>2900</v>
      </c>
      <c r="D1319" s="11"/>
      <c r="E1319" s="17"/>
      <c r="F1319" s="12"/>
      <c r="G1319" s="8">
        <f t="shared" si="20"/>
        <v>0</v>
      </c>
      <c r="H1319" s="1"/>
    </row>
    <row r="1320" spans="1:8" ht="15.75" customHeight="1">
      <c r="A1320" s="6">
        <v>1316</v>
      </c>
      <c r="B1320" s="11" t="s">
        <v>1251</v>
      </c>
      <c r="C1320" s="11">
        <f xml:space="preserve">      4200</f>
        <v>4200</v>
      </c>
      <c r="D1320" s="11"/>
      <c r="E1320" s="17"/>
      <c r="F1320" s="12"/>
      <c r="G1320" s="8">
        <f t="shared" si="20"/>
        <v>0</v>
      </c>
      <c r="H1320" s="1"/>
    </row>
    <row r="1321" spans="1:8" ht="15.75" customHeight="1">
      <c r="A1321" s="6">
        <v>1317</v>
      </c>
      <c r="B1321" s="11" t="s">
        <v>1252</v>
      </c>
      <c r="C1321" s="11">
        <f xml:space="preserve">      1600</f>
        <v>1600</v>
      </c>
      <c r="D1321" s="11"/>
      <c r="E1321" s="17"/>
      <c r="F1321" s="12"/>
      <c r="G1321" s="8">
        <f t="shared" si="20"/>
        <v>0</v>
      </c>
      <c r="H1321" s="1"/>
    </row>
    <row r="1322" spans="1:8" ht="15.75" customHeight="1">
      <c r="A1322" s="6">
        <v>1318</v>
      </c>
      <c r="B1322" s="11" t="s">
        <v>1253</v>
      </c>
      <c r="C1322" s="11">
        <f xml:space="preserve">      3600</f>
        <v>3600</v>
      </c>
      <c r="D1322" s="11"/>
      <c r="E1322" s="17"/>
      <c r="F1322" s="12"/>
      <c r="G1322" s="8">
        <f t="shared" si="20"/>
        <v>0</v>
      </c>
      <c r="H1322" s="1"/>
    </row>
    <row r="1323" spans="1:8" ht="15.75" customHeight="1">
      <c r="A1323" s="6">
        <v>1319</v>
      </c>
      <c r="B1323" s="11" t="s">
        <v>1254</v>
      </c>
      <c r="C1323" s="11">
        <f xml:space="preserve">      2900</f>
        <v>2900</v>
      </c>
      <c r="D1323" s="11"/>
      <c r="E1323" s="17"/>
      <c r="F1323" s="12"/>
      <c r="G1323" s="8">
        <f t="shared" si="20"/>
        <v>0</v>
      </c>
      <c r="H1323" s="1"/>
    </row>
    <row r="1324" spans="1:8" ht="15.75" customHeight="1">
      <c r="A1324" s="6">
        <v>1320</v>
      </c>
      <c r="B1324" s="11" t="s">
        <v>1255</v>
      </c>
      <c r="C1324" s="11">
        <f xml:space="preserve">      2900</f>
        <v>2900</v>
      </c>
      <c r="D1324" s="11"/>
      <c r="E1324" s="17"/>
      <c r="F1324" s="12"/>
      <c r="G1324" s="8">
        <f t="shared" si="20"/>
        <v>0</v>
      </c>
      <c r="H1324" s="1"/>
    </row>
    <row r="1325" spans="1:8" ht="15.75" customHeight="1">
      <c r="A1325" s="6">
        <v>1321</v>
      </c>
      <c r="B1325" s="11" t="s">
        <v>1256</v>
      </c>
      <c r="C1325" s="11">
        <f xml:space="preserve">      4200</f>
        <v>4200</v>
      </c>
      <c r="D1325" s="11"/>
      <c r="E1325" s="17"/>
      <c r="F1325" s="12"/>
      <c r="G1325" s="8">
        <f t="shared" si="20"/>
        <v>0</v>
      </c>
      <c r="H1325" s="1"/>
    </row>
    <row r="1326" spans="1:8" ht="15.75" customHeight="1">
      <c r="A1326" s="6">
        <v>1322</v>
      </c>
      <c r="B1326" s="11" t="s">
        <v>1257</v>
      </c>
      <c r="C1326" s="11">
        <f xml:space="preserve">      1550</f>
        <v>1550</v>
      </c>
      <c r="D1326" s="11"/>
      <c r="E1326" s="17"/>
      <c r="F1326" s="12"/>
      <c r="G1326" s="8">
        <f t="shared" si="20"/>
        <v>0</v>
      </c>
      <c r="H1326" s="1"/>
    </row>
    <row r="1327" spans="1:8" ht="15.75" customHeight="1">
      <c r="A1327" s="6">
        <v>1323</v>
      </c>
      <c r="B1327" s="11" t="s">
        <v>1258</v>
      </c>
      <c r="C1327" s="11">
        <f xml:space="preserve">      3650</f>
        <v>3650</v>
      </c>
      <c r="D1327" s="11"/>
      <c r="E1327" s="17"/>
      <c r="F1327" s="12"/>
      <c r="G1327" s="8">
        <f t="shared" si="20"/>
        <v>0</v>
      </c>
      <c r="H1327" s="1"/>
    </row>
    <row r="1328" spans="1:8" ht="15.75" customHeight="1">
      <c r="A1328" s="6">
        <v>1324</v>
      </c>
      <c r="B1328" s="11" t="s">
        <v>1259</v>
      </c>
      <c r="C1328" s="11">
        <f xml:space="preserve">      1600</f>
        <v>1600</v>
      </c>
      <c r="D1328" s="11"/>
      <c r="E1328" s="17"/>
      <c r="F1328" s="12"/>
      <c r="G1328" s="8">
        <f t="shared" si="20"/>
        <v>0</v>
      </c>
      <c r="H1328" s="1"/>
    </row>
    <row r="1329" spans="1:8" ht="15.75" customHeight="1">
      <c r="A1329" s="6">
        <v>1325</v>
      </c>
      <c r="B1329" s="11" t="s">
        <v>1260</v>
      </c>
      <c r="C1329" s="11">
        <f xml:space="preserve">      3600</f>
        <v>3600</v>
      </c>
      <c r="D1329" s="11"/>
      <c r="E1329" s="17"/>
      <c r="F1329" s="12"/>
      <c r="G1329" s="8">
        <f t="shared" si="20"/>
        <v>0</v>
      </c>
      <c r="H1329" s="1"/>
    </row>
    <row r="1330" spans="1:8" ht="15.75" customHeight="1">
      <c r="A1330" s="6">
        <v>1326</v>
      </c>
      <c r="B1330" s="11" t="s">
        <v>1261</v>
      </c>
      <c r="C1330" s="11">
        <f xml:space="preserve">      1600</f>
        <v>1600</v>
      </c>
      <c r="D1330" s="11"/>
      <c r="E1330" s="17"/>
      <c r="F1330" s="12"/>
      <c r="G1330" s="8">
        <f t="shared" si="20"/>
        <v>0</v>
      </c>
      <c r="H1330" s="1"/>
    </row>
    <row r="1331" spans="1:8" ht="15.75" customHeight="1">
      <c r="A1331" s="6">
        <v>1327</v>
      </c>
      <c r="B1331" s="11" t="s">
        <v>1262</v>
      </c>
      <c r="C1331" s="11">
        <f xml:space="preserve">      3600</f>
        <v>3600</v>
      </c>
      <c r="D1331" s="11"/>
      <c r="E1331" s="17"/>
      <c r="F1331" s="12"/>
      <c r="G1331" s="8">
        <f t="shared" si="20"/>
        <v>0</v>
      </c>
      <c r="H1331" s="1"/>
    </row>
    <row r="1332" spans="1:8" ht="15.75" customHeight="1">
      <c r="A1332" s="6">
        <v>1328</v>
      </c>
      <c r="B1332" s="11" t="s">
        <v>1263</v>
      </c>
      <c r="C1332" s="11">
        <f xml:space="preserve">      9900</f>
        <v>9900</v>
      </c>
      <c r="D1332" s="11"/>
      <c r="E1332" s="17"/>
      <c r="F1332" s="12"/>
      <c r="G1332" s="8">
        <f t="shared" si="20"/>
        <v>0</v>
      </c>
      <c r="H1332" s="1"/>
    </row>
    <row r="1333" spans="1:8" ht="15.75" customHeight="1">
      <c r="A1333" s="6">
        <v>1329</v>
      </c>
      <c r="B1333" s="11" t="s">
        <v>1264</v>
      </c>
      <c r="C1333" s="11">
        <f xml:space="preserve">      1600</f>
        <v>1600</v>
      </c>
      <c r="D1333" s="11"/>
      <c r="E1333" s="17"/>
      <c r="F1333" s="12"/>
      <c r="G1333" s="8">
        <f t="shared" si="20"/>
        <v>0</v>
      </c>
      <c r="H1333" s="1"/>
    </row>
    <row r="1334" spans="1:8" ht="15.75" customHeight="1">
      <c r="A1334" s="6">
        <v>1330</v>
      </c>
      <c r="B1334" s="11" t="s">
        <v>1265</v>
      </c>
      <c r="C1334" s="11">
        <f xml:space="preserve">      3600</f>
        <v>3600</v>
      </c>
      <c r="D1334" s="11"/>
      <c r="E1334" s="17"/>
      <c r="F1334" s="12"/>
      <c r="G1334" s="8">
        <f t="shared" si="20"/>
        <v>0</v>
      </c>
      <c r="H1334" s="1"/>
    </row>
    <row r="1335" spans="1:8" ht="15.75" customHeight="1">
      <c r="A1335" s="6">
        <v>1331</v>
      </c>
      <c r="B1335" s="11" t="s">
        <v>2473</v>
      </c>
      <c r="C1335" s="11">
        <f xml:space="preserve">     11200</f>
        <v>11200</v>
      </c>
      <c r="D1335" s="11"/>
      <c r="E1335" s="17"/>
      <c r="F1335" s="12"/>
      <c r="G1335" s="8">
        <f t="shared" si="20"/>
        <v>0</v>
      </c>
      <c r="H1335" s="1"/>
    </row>
    <row r="1336" spans="1:8" ht="15.75" customHeight="1">
      <c r="A1336" s="6">
        <v>1332</v>
      </c>
      <c r="B1336" s="11" t="s">
        <v>1266</v>
      </c>
      <c r="C1336" s="11">
        <f xml:space="preserve">    141700</f>
        <v>141700</v>
      </c>
      <c r="D1336" s="11"/>
      <c r="E1336" s="17"/>
      <c r="F1336" s="12"/>
      <c r="G1336" s="8">
        <f t="shared" si="20"/>
        <v>0</v>
      </c>
      <c r="H1336" s="1"/>
    </row>
    <row r="1337" spans="1:8" ht="15.75" customHeight="1">
      <c r="A1337" s="6">
        <v>1333</v>
      </c>
      <c r="B1337" s="11" t="s">
        <v>1267</v>
      </c>
      <c r="C1337" s="11">
        <f xml:space="preserve">     17800</f>
        <v>17800</v>
      </c>
      <c r="D1337" s="11"/>
      <c r="E1337" s="17"/>
      <c r="F1337" s="12"/>
      <c r="G1337" s="8">
        <f t="shared" si="20"/>
        <v>0</v>
      </c>
      <c r="H1337" s="1"/>
    </row>
    <row r="1338" spans="1:8" ht="15.75" customHeight="1">
      <c r="A1338" s="6">
        <v>1334</v>
      </c>
      <c r="B1338" s="11" t="s">
        <v>1268</v>
      </c>
      <c r="C1338" s="11">
        <f xml:space="preserve">      8100</f>
        <v>8100</v>
      </c>
      <c r="D1338" s="11"/>
      <c r="E1338" s="17"/>
      <c r="F1338" s="12"/>
      <c r="G1338" s="8">
        <f t="shared" si="20"/>
        <v>0</v>
      </c>
      <c r="H1338" s="1"/>
    </row>
    <row r="1339" spans="1:8" ht="15.75" customHeight="1">
      <c r="A1339" s="6">
        <v>1335</v>
      </c>
      <c r="B1339" s="11" t="s">
        <v>1269</v>
      </c>
      <c r="C1339" s="11">
        <f xml:space="preserve">      8100</f>
        <v>8100</v>
      </c>
      <c r="D1339" s="11"/>
      <c r="E1339" s="17"/>
      <c r="F1339" s="12"/>
      <c r="G1339" s="8">
        <f t="shared" si="20"/>
        <v>0</v>
      </c>
      <c r="H1339" s="1"/>
    </row>
    <row r="1340" spans="1:8" ht="15.75" customHeight="1">
      <c r="A1340" s="6">
        <v>1336</v>
      </c>
      <c r="B1340" s="11" t="s">
        <v>1270</v>
      </c>
      <c r="C1340" s="11">
        <f xml:space="preserve">     12350</f>
        <v>12350</v>
      </c>
      <c r="D1340" s="11"/>
      <c r="E1340" s="17"/>
      <c r="F1340" s="12"/>
      <c r="G1340" s="8">
        <f t="shared" si="20"/>
        <v>0</v>
      </c>
      <c r="H1340" s="1"/>
    </row>
    <row r="1341" spans="1:8" ht="15.75" customHeight="1">
      <c r="A1341" s="6">
        <v>1337</v>
      </c>
      <c r="B1341" s="11" t="s">
        <v>1271</v>
      </c>
      <c r="C1341" s="11">
        <f xml:space="preserve">     81100</f>
        <v>81100</v>
      </c>
      <c r="D1341" s="11"/>
      <c r="E1341" s="17"/>
      <c r="F1341" s="12"/>
      <c r="G1341" s="8">
        <f t="shared" si="20"/>
        <v>0</v>
      </c>
      <c r="H1341" s="1"/>
    </row>
    <row r="1342" spans="1:8" ht="15.75" customHeight="1">
      <c r="A1342" s="6">
        <v>1338</v>
      </c>
      <c r="B1342" s="11" t="s">
        <v>1272</v>
      </c>
      <c r="C1342" s="11">
        <f xml:space="preserve">     27600</f>
        <v>27600</v>
      </c>
      <c r="D1342" s="11"/>
      <c r="E1342" s="17"/>
      <c r="F1342" s="12"/>
      <c r="G1342" s="8">
        <f t="shared" si="20"/>
        <v>0</v>
      </c>
      <c r="H1342" s="1"/>
    </row>
    <row r="1343" spans="1:8" ht="15.75" customHeight="1">
      <c r="A1343" s="6">
        <v>1339</v>
      </c>
      <c r="B1343" s="11" t="s">
        <v>1273</v>
      </c>
      <c r="C1343" s="11">
        <f xml:space="preserve">     45700</f>
        <v>45700</v>
      </c>
      <c r="D1343" s="11"/>
      <c r="E1343" s="17"/>
      <c r="F1343" s="12"/>
      <c r="G1343" s="8">
        <f t="shared" si="20"/>
        <v>0</v>
      </c>
      <c r="H1343" s="1"/>
    </row>
    <row r="1344" spans="1:8" ht="15.75" customHeight="1">
      <c r="A1344" s="6">
        <v>1340</v>
      </c>
      <c r="B1344" s="11" t="s">
        <v>1274</v>
      </c>
      <c r="C1344" s="11">
        <f xml:space="preserve">      6700</f>
        <v>6700</v>
      </c>
      <c r="D1344" s="11"/>
      <c r="E1344" s="17"/>
      <c r="F1344" s="12"/>
      <c r="G1344" s="8">
        <f t="shared" si="20"/>
        <v>0</v>
      </c>
      <c r="H1344" s="1"/>
    </row>
    <row r="1345" spans="1:8" ht="15.75" customHeight="1">
      <c r="A1345" s="6">
        <v>1341</v>
      </c>
      <c r="B1345" s="11" t="s">
        <v>1275</v>
      </c>
      <c r="C1345" s="11">
        <f xml:space="preserve">     29050</f>
        <v>29050</v>
      </c>
      <c r="D1345" s="11"/>
      <c r="E1345" s="17"/>
      <c r="F1345" s="12"/>
      <c r="G1345" s="8">
        <f t="shared" si="20"/>
        <v>0</v>
      </c>
      <c r="H1345" s="1"/>
    </row>
    <row r="1346" spans="1:8" ht="15.75" customHeight="1">
      <c r="A1346" s="6">
        <v>1342</v>
      </c>
      <c r="B1346" s="11" t="s">
        <v>1276</v>
      </c>
      <c r="C1346" s="11">
        <f xml:space="preserve">     30850</f>
        <v>30850</v>
      </c>
      <c r="D1346" s="11"/>
      <c r="E1346" s="17"/>
      <c r="F1346" s="12"/>
      <c r="G1346" s="8">
        <f t="shared" si="20"/>
        <v>0</v>
      </c>
      <c r="H1346" s="1"/>
    </row>
    <row r="1347" spans="1:8" ht="15.75" customHeight="1">
      <c r="A1347" s="6">
        <v>1343</v>
      </c>
      <c r="B1347" s="11" t="s">
        <v>1277</v>
      </c>
      <c r="C1347" s="11">
        <f xml:space="preserve">     19900</f>
        <v>19900</v>
      </c>
      <c r="D1347" s="11"/>
      <c r="E1347" s="17"/>
      <c r="F1347" s="12"/>
      <c r="G1347" s="8">
        <f t="shared" si="20"/>
        <v>0</v>
      </c>
      <c r="H1347" s="1"/>
    </row>
    <row r="1348" spans="1:8" ht="15.75" customHeight="1">
      <c r="A1348" s="6">
        <v>1344</v>
      </c>
      <c r="B1348" s="11" t="s">
        <v>1278</v>
      </c>
      <c r="C1348" s="11">
        <f xml:space="preserve">     61500</f>
        <v>61500</v>
      </c>
      <c r="D1348" s="11"/>
      <c r="E1348" s="17"/>
      <c r="F1348" s="12"/>
      <c r="G1348" s="8">
        <f t="shared" ref="G1348:G1409" si="21">C1348*D1348+E1348*F1348</f>
        <v>0</v>
      </c>
      <c r="H1348" s="1"/>
    </row>
    <row r="1349" spans="1:8" ht="15.75" customHeight="1">
      <c r="A1349" s="6">
        <v>1345</v>
      </c>
      <c r="B1349" s="11" t="s">
        <v>1279</v>
      </c>
      <c r="C1349" s="11">
        <f xml:space="preserve">    108300</f>
        <v>108300</v>
      </c>
      <c r="D1349" s="11"/>
      <c r="E1349" s="17"/>
      <c r="F1349" s="12"/>
      <c r="G1349" s="8">
        <f t="shared" si="21"/>
        <v>0</v>
      </c>
      <c r="H1349" s="1"/>
    </row>
    <row r="1350" spans="1:8" ht="15.75" customHeight="1">
      <c r="A1350" s="6">
        <v>1346</v>
      </c>
      <c r="B1350" s="11" t="s">
        <v>1280</v>
      </c>
      <c r="C1350" s="11">
        <f xml:space="preserve">     36900</f>
        <v>36900</v>
      </c>
      <c r="D1350" s="11"/>
      <c r="E1350" s="17"/>
      <c r="F1350" s="12"/>
      <c r="G1350" s="8">
        <f t="shared" si="21"/>
        <v>0</v>
      </c>
      <c r="H1350" s="1"/>
    </row>
    <row r="1351" spans="1:8" ht="15.75" customHeight="1">
      <c r="A1351" s="6">
        <v>1347</v>
      </c>
      <c r="B1351" s="11" t="s">
        <v>1281</v>
      </c>
      <c r="C1351" s="11">
        <f xml:space="preserve">     33500</f>
        <v>33500</v>
      </c>
      <c r="D1351" s="11"/>
      <c r="E1351" s="17"/>
      <c r="F1351" s="12"/>
      <c r="G1351" s="8">
        <f t="shared" si="21"/>
        <v>0</v>
      </c>
      <c r="H1351" s="1"/>
    </row>
    <row r="1352" spans="1:8" ht="15.75" customHeight="1">
      <c r="A1352" s="6">
        <v>1348</v>
      </c>
      <c r="B1352" s="11" t="s">
        <v>1282</v>
      </c>
      <c r="C1352" s="11">
        <f xml:space="preserve">     28900</f>
        <v>28900</v>
      </c>
      <c r="D1352" s="11"/>
      <c r="E1352" s="17"/>
      <c r="F1352" s="12"/>
      <c r="G1352" s="8">
        <f t="shared" si="21"/>
        <v>0</v>
      </c>
      <c r="H1352" s="1"/>
    </row>
    <row r="1353" spans="1:8" ht="15.75" customHeight="1">
      <c r="A1353" s="6">
        <v>1349</v>
      </c>
      <c r="B1353" s="11" t="s">
        <v>1283</v>
      </c>
      <c r="C1353" s="11">
        <f xml:space="preserve">     48650</f>
        <v>48650</v>
      </c>
      <c r="D1353" s="11"/>
      <c r="E1353" s="17"/>
      <c r="F1353" s="12"/>
      <c r="G1353" s="8">
        <f t="shared" si="21"/>
        <v>0</v>
      </c>
      <c r="H1353" s="1"/>
    </row>
    <row r="1354" spans="1:8" ht="15.75" customHeight="1">
      <c r="A1354" s="6">
        <v>1350</v>
      </c>
      <c r="B1354" s="11" t="s">
        <v>1284</v>
      </c>
      <c r="C1354" s="11">
        <f xml:space="preserve">     11600</f>
        <v>11600</v>
      </c>
      <c r="D1354" s="11"/>
      <c r="E1354" s="17"/>
      <c r="F1354" s="12"/>
      <c r="G1354" s="8">
        <f t="shared" si="21"/>
        <v>0</v>
      </c>
      <c r="H1354" s="1"/>
    </row>
    <row r="1355" spans="1:8" ht="15.75" customHeight="1">
      <c r="A1355" s="6">
        <v>1351</v>
      </c>
      <c r="B1355" s="11" t="s">
        <v>1285</v>
      </c>
      <c r="C1355" s="11">
        <f xml:space="preserve">      9750</f>
        <v>9750</v>
      </c>
      <c r="D1355" s="11"/>
      <c r="E1355" s="17"/>
      <c r="F1355" s="12"/>
      <c r="G1355" s="8">
        <f t="shared" si="21"/>
        <v>0</v>
      </c>
      <c r="H1355" s="1"/>
    </row>
    <row r="1356" spans="1:8" ht="15.75" customHeight="1">
      <c r="A1356" s="6">
        <v>1352</v>
      </c>
      <c r="B1356" s="11" t="s">
        <v>1286</v>
      </c>
      <c r="C1356" s="11">
        <f xml:space="preserve">      9300</f>
        <v>9300</v>
      </c>
      <c r="D1356" s="11"/>
      <c r="E1356" s="17"/>
      <c r="F1356" s="12"/>
      <c r="G1356" s="8">
        <f t="shared" si="21"/>
        <v>0</v>
      </c>
      <c r="H1356" s="1"/>
    </row>
    <row r="1357" spans="1:8" ht="15.75" customHeight="1">
      <c r="A1357" s="6">
        <v>1353</v>
      </c>
      <c r="B1357" s="11" t="s">
        <v>1287</v>
      </c>
      <c r="C1357" s="11">
        <f xml:space="preserve">     84600</f>
        <v>84600</v>
      </c>
      <c r="D1357" s="11"/>
      <c r="E1357" s="17"/>
      <c r="F1357" s="12"/>
      <c r="G1357" s="8">
        <f t="shared" si="21"/>
        <v>0</v>
      </c>
      <c r="H1357" s="1"/>
    </row>
    <row r="1358" spans="1:8" ht="15.75" customHeight="1">
      <c r="A1358" s="6">
        <v>1354</v>
      </c>
      <c r="B1358" s="11" t="s">
        <v>1288</v>
      </c>
      <c r="C1358" s="11">
        <f xml:space="preserve">     90750</f>
        <v>90750</v>
      </c>
      <c r="D1358" s="11"/>
      <c r="E1358" s="17"/>
      <c r="F1358" s="12"/>
      <c r="G1358" s="8">
        <f t="shared" si="21"/>
        <v>0</v>
      </c>
      <c r="H1358" s="1"/>
    </row>
    <row r="1359" spans="1:8" ht="15.75" customHeight="1">
      <c r="A1359" s="6">
        <v>1355</v>
      </c>
      <c r="B1359" s="11" t="s">
        <v>1289</v>
      </c>
      <c r="C1359" s="11">
        <f xml:space="preserve">     87550</f>
        <v>87550</v>
      </c>
      <c r="D1359" s="11"/>
      <c r="E1359" s="17"/>
      <c r="F1359" s="12"/>
      <c r="G1359" s="8">
        <f t="shared" si="21"/>
        <v>0</v>
      </c>
      <c r="H1359" s="1"/>
    </row>
    <row r="1360" spans="1:8" ht="15.75" customHeight="1">
      <c r="A1360" s="6">
        <v>1356</v>
      </c>
      <c r="B1360" s="11" t="s">
        <v>1290</v>
      </c>
      <c r="C1360" s="11">
        <f xml:space="preserve">     48850</f>
        <v>48850</v>
      </c>
      <c r="D1360" s="11"/>
      <c r="E1360" s="17"/>
      <c r="F1360" s="12"/>
      <c r="G1360" s="8">
        <f t="shared" si="21"/>
        <v>0</v>
      </c>
      <c r="H1360" s="1"/>
    </row>
    <row r="1361" spans="1:8" ht="15.75" customHeight="1">
      <c r="A1361" s="6">
        <v>1357</v>
      </c>
      <c r="B1361" s="11" t="s">
        <v>1291</v>
      </c>
      <c r="C1361" s="11">
        <f xml:space="preserve">    133000</f>
        <v>133000</v>
      </c>
      <c r="D1361" s="11"/>
      <c r="E1361" s="17"/>
      <c r="F1361" s="12"/>
      <c r="G1361" s="8">
        <f t="shared" si="21"/>
        <v>0</v>
      </c>
      <c r="H1361" s="1"/>
    </row>
    <row r="1362" spans="1:8" ht="15.75" customHeight="1">
      <c r="A1362" s="6">
        <v>1358</v>
      </c>
      <c r="B1362" s="11" t="s">
        <v>1292</v>
      </c>
      <c r="C1362" s="11">
        <f xml:space="preserve">     44950</f>
        <v>44950</v>
      </c>
      <c r="D1362" s="11"/>
      <c r="E1362" s="17"/>
      <c r="F1362" s="12"/>
      <c r="G1362" s="8">
        <f t="shared" si="21"/>
        <v>0</v>
      </c>
      <c r="H1362" s="1"/>
    </row>
    <row r="1363" spans="1:8" ht="15.75" customHeight="1">
      <c r="A1363" s="6">
        <v>1359</v>
      </c>
      <c r="B1363" s="11" t="s">
        <v>1293</v>
      </c>
      <c r="C1363" s="11">
        <f xml:space="preserve">     27800</f>
        <v>27800</v>
      </c>
      <c r="D1363" s="11"/>
      <c r="E1363" s="17"/>
      <c r="F1363" s="12"/>
      <c r="G1363" s="8">
        <f t="shared" si="21"/>
        <v>0</v>
      </c>
      <c r="H1363" s="1"/>
    </row>
    <row r="1364" spans="1:8" ht="15.75" customHeight="1">
      <c r="A1364" s="6">
        <v>1360</v>
      </c>
      <c r="B1364" s="11" t="s">
        <v>1294</v>
      </c>
      <c r="C1364" s="11">
        <f xml:space="preserve">     47500</f>
        <v>47500</v>
      </c>
      <c r="D1364" s="11"/>
      <c r="E1364" s="17"/>
      <c r="F1364" s="12"/>
      <c r="G1364" s="8">
        <f t="shared" si="21"/>
        <v>0</v>
      </c>
      <c r="H1364" s="1"/>
    </row>
    <row r="1365" spans="1:8" ht="15.75" customHeight="1">
      <c r="A1365" s="6">
        <v>1361</v>
      </c>
      <c r="B1365" s="11" t="s">
        <v>1295</v>
      </c>
      <c r="C1365" s="11">
        <f xml:space="preserve">     87500</f>
        <v>87500</v>
      </c>
      <c r="D1365" s="11"/>
      <c r="E1365" s="17"/>
      <c r="F1365" s="12"/>
      <c r="G1365" s="8">
        <f t="shared" si="21"/>
        <v>0</v>
      </c>
      <c r="H1365" s="1"/>
    </row>
    <row r="1366" spans="1:8" ht="15.75" customHeight="1">
      <c r="A1366" s="6">
        <v>1362</v>
      </c>
      <c r="B1366" s="11" t="s">
        <v>1296</v>
      </c>
      <c r="C1366" s="11">
        <f xml:space="preserve">     53200</f>
        <v>53200</v>
      </c>
      <c r="D1366" s="11"/>
      <c r="E1366" s="17"/>
      <c r="F1366" s="12"/>
      <c r="G1366" s="8">
        <f t="shared" si="21"/>
        <v>0</v>
      </c>
      <c r="H1366" s="1"/>
    </row>
    <row r="1367" spans="1:8" ht="15.75" customHeight="1">
      <c r="A1367" s="6">
        <v>1363</v>
      </c>
      <c r="B1367" s="11" t="s">
        <v>1297</v>
      </c>
      <c r="C1367" s="11">
        <f xml:space="preserve">     29200</f>
        <v>29200</v>
      </c>
      <c r="D1367" s="11"/>
      <c r="E1367" s="17"/>
      <c r="F1367" s="12"/>
      <c r="G1367" s="8">
        <f t="shared" si="21"/>
        <v>0</v>
      </c>
      <c r="H1367" s="1"/>
    </row>
    <row r="1368" spans="1:8" ht="15.75" customHeight="1">
      <c r="A1368" s="6">
        <v>1364</v>
      </c>
      <c r="B1368" s="11" t="s">
        <v>1298</v>
      </c>
      <c r="C1368" s="11">
        <f xml:space="preserve">     17400</f>
        <v>17400</v>
      </c>
      <c r="D1368" s="11"/>
      <c r="E1368" s="17"/>
      <c r="F1368" s="12"/>
      <c r="G1368" s="8">
        <f t="shared" si="21"/>
        <v>0</v>
      </c>
      <c r="H1368" s="1"/>
    </row>
    <row r="1369" spans="1:8" ht="15.75" customHeight="1">
      <c r="A1369" s="6">
        <v>1365</v>
      </c>
      <c r="B1369" s="11" t="s">
        <v>2474</v>
      </c>
      <c r="C1369" s="11">
        <f xml:space="preserve">     17400</f>
        <v>17400</v>
      </c>
      <c r="D1369" s="11"/>
      <c r="E1369" s="17"/>
      <c r="F1369" s="12"/>
      <c r="G1369" s="8">
        <f t="shared" si="21"/>
        <v>0</v>
      </c>
      <c r="H1369" s="1"/>
    </row>
    <row r="1370" spans="1:8" ht="15.75" customHeight="1">
      <c r="A1370" s="6">
        <v>1366</v>
      </c>
      <c r="B1370" s="11" t="s">
        <v>1299</v>
      </c>
      <c r="C1370" s="11">
        <f xml:space="preserve">      2310</f>
        <v>2310</v>
      </c>
      <c r="D1370" s="11"/>
      <c r="E1370" s="17"/>
      <c r="F1370" s="12"/>
      <c r="G1370" s="8">
        <f t="shared" si="21"/>
        <v>0</v>
      </c>
      <c r="H1370" s="1"/>
    </row>
    <row r="1371" spans="1:8" ht="15.75" customHeight="1">
      <c r="A1371" s="6">
        <v>1367</v>
      </c>
      <c r="B1371" s="11" t="s">
        <v>1300</v>
      </c>
      <c r="C1371" s="11">
        <f xml:space="preserve">      2550</f>
        <v>2550</v>
      </c>
      <c r="D1371" s="11"/>
      <c r="E1371" s="17"/>
      <c r="F1371" s="12"/>
      <c r="G1371" s="8">
        <f t="shared" si="21"/>
        <v>0</v>
      </c>
      <c r="H1371" s="1"/>
    </row>
    <row r="1372" spans="1:8" ht="15.75" customHeight="1">
      <c r="A1372" s="6">
        <v>1368</v>
      </c>
      <c r="B1372" s="11" t="s">
        <v>1301</v>
      </c>
      <c r="C1372" s="11">
        <f xml:space="preserve">     31450</f>
        <v>31450</v>
      </c>
      <c r="D1372" s="11"/>
      <c r="E1372" s="17"/>
      <c r="F1372" s="12"/>
      <c r="G1372" s="8">
        <f t="shared" si="21"/>
        <v>0</v>
      </c>
      <c r="H1372" s="1"/>
    </row>
    <row r="1373" spans="1:8" ht="15.75" customHeight="1">
      <c r="A1373" s="6">
        <v>1369</v>
      </c>
      <c r="B1373" s="11" t="s">
        <v>1302</v>
      </c>
      <c r="C1373" s="11">
        <f xml:space="preserve">     38550</f>
        <v>38550</v>
      </c>
      <c r="D1373" s="11"/>
      <c r="E1373" s="17"/>
      <c r="F1373" s="12"/>
      <c r="G1373" s="8">
        <f t="shared" si="21"/>
        <v>0</v>
      </c>
      <c r="H1373" s="1"/>
    </row>
    <row r="1374" spans="1:8" ht="15.75" customHeight="1">
      <c r="A1374" s="6">
        <v>1370</v>
      </c>
      <c r="B1374" s="11" t="s">
        <v>1303</v>
      </c>
      <c r="C1374" s="11">
        <f xml:space="preserve">     76950</f>
        <v>76950</v>
      </c>
      <c r="D1374" s="11"/>
      <c r="E1374" s="17"/>
      <c r="F1374" s="12"/>
      <c r="G1374" s="8">
        <f t="shared" si="21"/>
        <v>0</v>
      </c>
      <c r="H1374" s="1"/>
    </row>
    <row r="1375" spans="1:8" ht="15.75" customHeight="1">
      <c r="A1375" s="6">
        <v>1371</v>
      </c>
      <c r="B1375" s="11" t="s">
        <v>1304</v>
      </c>
      <c r="C1375" s="11">
        <f xml:space="preserve">    100350</f>
        <v>100350</v>
      </c>
      <c r="D1375" s="11"/>
      <c r="E1375" s="17"/>
      <c r="F1375" s="12"/>
      <c r="G1375" s="8">
        <f t="shared" si="21"/>
        <v>0</v>
      </c>
      <c r="H1375" s="1"/>
    </row>
    <row r="1376" spans="1:8" ht="15.75" customHeight="1">
      <c r="A1376" s="6">
        <v>1372</v>
      </c>
      <c r="B1376" s="11" t="s">
        <v>1305</v>
      </c>
      <c r="C1376" s="11">
        <f xml:space="preserve">     83900</f>
        <v>83900</v>
      </c>
      <c r="D1376" s="11"/>
      <c r="E1376" s="17"/>
      <c r="F1376" s="12"/>
      <c r="G1376" s="8">
        <f t="shared" si="21"/>
        <v>0</v>
      </c>
      <c r="H1376" s="1"/>
    </row>
    <row r="1377" spans="1:8" ht="15.75" customHeight="1">
      <c r="A1377" s="6">
        <v>1373</v>
      </c>
      <c r="B1377" s="11" t="s">
        <v>1306</v>
      </c>
      <c r="C1377" s="11">
        <f xml:space="preserve">     18900</f>
        <v>18900</v>
      </c>
      <c r="D1377" s="11"/>
      <c r="E1377" s="17"/>
      <c r="F1377" s="12"/>
      <c r="G1377" s="8">
        <f t="shared" si="21"/>
        <v>0</v>
      </c>
      <c r="H1377" s="1"/>
    </row>
    <row r="1378" spans="1:8" ht="15.75" customHeight="1">
      <c r="A1378" s="6">
        <v>1374</v>
      </c>
      <c r="B1378" s="11" t="s">
        <v>1307</v>
      </c>
      <c r="C1378" s="11">
        <f xml:space="preserve">     11300</f>
        <v>11300</v>
      </c>
      <c r="D1378" s="11"/>
      <c r="E1378" s="17"/>
      <c r="F1378" s="12"/>
      <c r="G1378" s="8">
        <f t="shared" si="21"/>
        <v>0</v>
      </c>
      <c r="H1378" s="1"/>
    </row>
    <row r="1379" spans="1:8" ht="15.75" customHeight="1">
      <c r="A1379" s="6">
        <v>1375</v>
      </c>
      <c r="B1379" s="11" t="s">
        <v>1308</v>
      </c>
      <c r="C1379" s="11">
        <f xml:space="preserve">     67850</f>
        <v>67850</v>
      </c>
      <c r="D1379" s="11"/>
      <c r="E1379" s="17"/>
      <c r="F1379" s="12"/>
      <c r="G1379" s="8">
        <f t="shared" si="21"/>
        <v>0</v>
      </c>
      <c r="H1379" s="1"/>
    </row>
    <row r="1380" spans="1:8" ht="15.75" customHeight="1">
      <c r="A1380" s="6">
        <v>1376</v>
      </c>
      <c r="B1380" s="11" t="s">
        <v>1309</v>
      </c>
      <c r="C1380" s="11">
        <f xml:space="preserve">     49500</f>
        <v>49500</v>
      </c>
      <c r="D1380" s="11"/>
      <c r="E1380" s="17"/>
      <c r="F1380" s="12"/>
      <c r="G1380" s="8">
        <f t="shared" si="21"/>
        <v>0</v>
      </c>
      <c r="H1380" s="1"/>
    </row>
    <row r="1381" spans="1:8" ht="15.75" customHeight="1">
      <c r="A1381" s="6">
        <v>1377</v>
      </c>
      <c r="B1381" s="11" t="s">
        <v>1310</v>
      </c>
      <c r="C1381" s="11">
        <f xml:space="preserve">     41300</f>
        <v>41300</v>
      </c>
      <c r="D1381" s="11"/>
      <c r="E1381" s="17"/>
      <c r="F1381" s="12"/>
      <c r="G1381" s="8">
        <f t="shared" si="21"/>
        <v>0</v>
      </c>
      <c r="H1381" s="1"/>
    </row>
    <row r="1382" spans="1:8" ht="15.75" customHeight="1">
      <c r="A1382" s="6">
        <v>1378</v>
      </c>
      <c r="B1382" s="11" t="s">
        <v>1311</v>
      </c>
      <c r="C1382" s="11">
        <f xml:space="preserve">     21100</f>
        <v>21100</v>
      </c>
      <c r="D1382" s="11"/>
      <c r="E1382" s="17"/>
      <c r="F1382" s="12"/>
      <c r="G1382" s="8">
        <f t="shared" si="21"/>
        <v>0</v>
      </c>
      <c r="H1382" s="1"/>
    </row>
    <row r="1383" spans="1:8" ht="15.75" customHeight="1">
      <c r="A1383" s="6">
        <v>1379</v>
      </c>
      <c r="B1383" s="11" t="s">
        <v>1312</v>
      </c>
      <c r="C1383" s="11">
        <f xml:space="preserve">      1700</f>
        <v>1700</v>
      </c>
      <c r="D1383" s="11"/>
      <c r="E1383" s="17"/>
      <c r="F1383" s="12"/>
      <c r="G1383" s="8">
        <f t="shared" si="21"/>
        <v>0</v>
      </c>
      <c r="H1383" s="1"/>
    </row>
    <row r="1384" spans="1:8" ht="15.75" customHeight="1">
      <c r="A1384" s="6">
        <v>1380</v>
      </c>
      <c r="B1384" s="11" t="s">
        <v>1313</v>
      </c>
      <c r="C1384" s="11">
        <f xml:space="preserve">      1200</f>
        <v>1200</v>
      </c>
      <c r="D1384" s="11"/>
      <c r="E1384" s="17"/>
      <c r="F1384" s="12"/>
      <c r="G1384" s="8">
        <f t="shared" si="21"/>
        <v>0</v>
      </c>
      <c r="H1384" s="1"/>
    </row>
    <row r="1385" spans="1:8" ht="15.75" customHeight="1">
      <c r="A1385" s="6">
        <v>1381</v>
      </c>
      <c r="B1385" s="11" t="s">
        <v>1314</v>
      </c>
      <c r="C1385" s="11">
        <f xml:space="preserve">      5400</f>
        <v>5400</v>
      </c>
      <c r="D1385" s="11"/>
      <c r="E1385" s="17"/>
      <c r="F1385" s="12"/>
      <c r="G1385" s="8">
        <f t="shared" si="21"/>
        <v>0</v>
      </c>
      <c r="H1385" s="1"/>
    </row>
    <row r="1386" spans="1:8" ht="15.75" customHeight="1">
      <c r="A1386" s="6">
        <v>1382</v>
      </c>
      <c r="B1386" s="11" t="s">
        <v>1314</v>
      </c>
      <c r="C1386" s="11">
        <f xml:space="preserve">      5400</f>
        <v>5400</v>
      </c>
      <c r="D1386" s="11"/>
      <c r="E1386" s="17"/>
      <c r="F1386" s="12"/>
      <c r="G1386" s="8">
        <f t="shared" si="21"/>
        <v>0</v>
      </c>
      <c r="H1386" s="1"/>
    </row>
    <row r="1387" spans="1:8" ht="15.75" customHeight="1">
      <c r="A1387" s="6">
        <v>1383</v>
      </c>
      <c r="B1387" s="11" t="s">
        <v>1315</v>
      </c>
      <c r="C1387" s="11">
        <f xml:space="preserve">      5340</f>
        <v>5340</v>
      </c>
      <c r="D1387" s="11"/>
      <c r="E1387" s="17"/>
      <c r="F1387" s="12"/>
      <c r="G1387" s="8">
        <f t="shared" si="21"/>
        <v>0</v>
      </c>
      <c r="H1387" s="1"/>
    </row>
    <row r="1388" spans="1:8" ht="15.75" customHeight="1">
      <c r="A1388" s="6">
        <v>1384</v>
      </c>
      <c r="B1388" s="11" t="s">
        <v>1316</v>
      </c>
      <c r="C1388" s="11">
        <f xml:space="preserve">     10500</f>
        <v>10500</v>
      </c>
      <c r="D1388" s="11"/>
      <c r="E1388" s="17"/>
      <c r="F1388" s="12"/>
      <c r="G1388" s="8">
        <f t="shared" si="21"/>
        <v>0</v>
      </c>
      <c r="H1388" s="1"/>
    </row>
    <row r="1389" spans="1:8" ht="15.75" customHeight="1">
      <c r="A1389" s="6">
        <v>1385</v>
      </c>
      <c r="B1389" s="11" t="s">
        <v>1317</v>
      </c>
      <c r="C1389" s="11">
        <f xml:space="preserve">      7300</f>
        <v>7300</v>
      </c>
      <c r="D1389" s="11"/>
      <c r="E1389" s="17"/>
      <c r="F1389" s="12"/>
      <c r="G1389" s="8">
        <f t="shared" si="21"/>
        <v>0</v>
      </c>
      <c r="H1389" s="1"/>
    </row>
    <row r="1390" spans="1:8" ht="15.75" customHeight="1">
      <c r="A1390" s="6">
        <v>1386</v>
      </c>
      <c r="B1390" s="11" t="s">
        <v>1318</v>
      </c>
      <c r="C1390" s="11">
        <f xml:space="preserve">     59850</f>
        <v>59850</v>
      </c>
      <c r="D1390" s="11"/>
      <c r="E1390" s="17"/>
      <c r="F1390" s="12"/>
      <c r="G1390" s="8">
        <f t="shared" si="21"/>
        <v>0</v>
      </c>
      <c r="H1390" s="1"/>
    </row>
    <row r="1391" spans="1:8" ht="15.75" customHeight="1">
      <c r="A1391" s="6">
        <v>1387</v>
      </c>
      <c r="B1391" s="11" t="s">
        <v>1319</v>
      </c>
      <c r="C1391" s="11">
        <f xml:space="preserve">     29100</f>
        <v>29100</v>
      </c>
      <c r="D1391" s="11"/>
      <c r="E1391" s="17"/>
      <c r="F1391" s="12"/>
      <c r="G1391" s="8">
        <f t="shared" si="21"/>
        <v>0</v>
      </c>
      <c r="H1391" s="1"/>
    </row>
    <row r="1392" spans="1:8" ht="15.75" customHeight="1">
      <c r="A1392" s="6">
        <v>1388</v>
      </c>
      <c r="B1392" s="11" t="s">
        <v>1320</v>
      </c>
      <c r="C1392" s="11">
        <f xml:space="preserve">     78900</f>
        <v>78900</v>
      </c>
      <c r="D1392" s="11"/>
      <c r="E1392" s="17"/>
      <c r="F1392" s="12"/>
      <c r="G1392" s="8">
        <f t="shared" si="21"/>
        <v>0</v>
      </c>
      <c r="H1392" s="1"/>
    </row>
    <row r="1393" spans="1:8" ht="15.75" customHeight="1">
      <c r="A1393" s="6">
        <v>1389</v>
      </c>
      <c r="B1393" s="11" t="s">
        <v>1321</v>
      </c>
      <c r="C1393" s="11">
        <f xml:space="preserve">     53800</f>
        <v>53800</v>
      </c>
      <c r="D1393" s="11"/>
      <c r="E1393" s="17"/>
      <c r="F1393" s="12"/>
      <c r="G1393" s="8">
        <f t="shared" si="21"/>
        <v>0</v>
      </c>
      <c r="H1393" s="1"/>
    </row>
    <row r="1394" spans="1:8" ht="15.75" customHeight="1">
      <c r="A1394" s="6">
        <v>1390</v>
      </c>
      <c r="B1394" s="11" t="s">
        <v>1322</v>
      </c>
      <c r="C1394" s="11">
        <f xml:space="preserve">     25900</f>
        <v>25900</v>
      </c>
      <c r="D1394" s="11"/>
      <c r="E1394" s="17"/>
      <c r="F1394" s="12"/>
      <c r="G1394" s="8">
        <f t="shared" si="21"/>
        <v>0</v>
      </c>
      <c r="H1394" s="1"/>
    </row>
    <row r="1395" spans="1:8" ht="15.75" customHeight="1">
      <c r="A1395" s="6">
        <v>1391</v>
      </c>
      <c r="B1395" s="11" t="s">
        <v>1323</v>
      </c>
      <c r="C1395" s="11">
        <f xml:space="preserve">     43450</f>
        <v>43450</v>
      </c>
      <c r="D1395" s="11"/>
      <c r="E1395" s="17"/>
      <c r="F1395" s="12"/>
      <c r="G1395" s="8">
        <f t="shared" si="21"/>
        <v>0</v>
      </c>
      <c r="H1395" s="1"/>
    </row>
    <row r="1396" spans="1:8" ht="15.75" customHeight="1">
      <c r="A1396" s="6">
        <v>1392</v>
      </c>
      <c r="B1396" s="11" t="s">
        <v>1324</v>
      </c>
      <c r="C1396" s="11">
        <f xml:space="preserve">     40900</f>
        <v>40900</v>
      </c>
      <c r="D1396" s="11"/>
      <c r="E1396" s="17"/>
      <c r="F1396" s="12"/>
      <c r="G1396" s="8">
        <f t="shared" si="21"/>
        <v>0</v>
      </c>
      <c r="H1396" s="1"/>
    </row>
    <row r="1397" spans="1:8" ht="15.75" customHeight="1">
      <c r="A1397" s="6">
        <v>1393</v>
      </c>
      <c r="B1397" s="11" t="s">
        <v>1324</v>
      </c>
      <c r="C1397" s="11">
        <f xml:space="preserve">     39550</f>
        <v>39550</v>
      </c>
      <c r="D1397" s="11"/>
      <c r="E1397" s="17"/>
      <c r="F1397" s="12"/>
      <c r="G1397" s="8">
        <f t="shared" si="21"/>
        <v>0</v>
      </c>
      <c r="H1397" s="1"/>
    </row>
    <row r="1398" spans="1:8" ht="15.75" customHeight="1">
      <c r="A1398" s="6">
        <v>1394</v>
      </c>
      <c r="B1398" s="11" t="s">
        <v>1325</v>
      </c>
      <c r="C1398" s="11">
        <f xml:space="preserve">     38700</f>
        <v>38700</v>
      </c>
      <c r="D1398" s="11"/>
      <c r="E1398" s="17"/>
      <c r="F1398" s="12"/>
      <c r="G1398" s="8">
        <f t="shared" si="21"/>
        <v>0</v>
      </c>
      <c r="H1398" s="1"/>
    </row>
    <row r="1399" spans="1:8" ht="15.75" customHeight="1">
      <c r="A1399" s="6">
        <v>1395</v>
      </c>
      <c r="B1399" s="11" t="s">
        <v>1326</v>
      </c>
      <c r="C1399" s="11">
        <f xml:space="preserve">     40650</f>
        <v>40650</v>
      </c>
      <c r="D1399" s="11"/>
      <c r="E1399" s="17"/>
      <c r="F1399" s="12"/>
      <c r="G1399" s="8">
        <f t="shared" si="21"/>
        <v>0</v>
      </c>
      <c r="H1399" s="1"/>
    </row>
    <row r="1400" spans="1:8" ht="15.75" customHeight="1">
      <c r="A1400" s="6">
        <v>1396</v>
      </c>
      <c r="B1400" s="11" t="s">
        <v>1327</v>
      </c>
      <c r="C1400" s="11">
        <f xml:space="preserve">     37800</f>
        <v>37800</v>
      </c>
      <c r="D1400" s="11"/>
      <c r="E1400" s="17"/>
      <c r="F1400" s="12"/>
      <c r="G1400" s="8">
        <f t="shared" si="21"/>
        <v>0</v>
      </c>
      <c r="H1400" s="1"/>
    </row>
    <row r="1401" spans="1:8" ht="15.75" customHeight="1">
      <c r="A1401" s="6">
        <v>1397</v>
      </c>
      <c r="B1401" s="11" t="s">
        <v>1328</v>
      </c>
      <c r="C1401" s="11">
        <f xml:space="preserve">     36900</f>
        <v>36900</v>
      </c>
      <c r="D1401" s="11"/>
      <c r="E1401" s="17"/>
      <c r="F1401" s="12"/>
      <c r="G1401" s="8">
        <f t="shared" si="21"/>
        <v>0</v>
      </c>
      <c r="H1401" s="1"/>
    </row>
    <row r="1402" spans="1:8" ht="15.75" customHeight="1">
      <c r="A1402" s="6">
        <v>1398</v>
      </c>
      <c r="B1402" s="11" t="s">
        <v>2475</v>
      </c>
      <c r="C1402" s="11">
        <f xml:space="preserve">     34500</f>
        <v>34500</v>
      </c>
      <c r="D1402" s="11"/>
      <c r="E1402" s="17"/>
      <c r="F1402" s="12"/>
      <c r="G1402" s="8">
        <f t="shared" si="21"/>
        <v>0</v>
      </c>
      <c r="H1402" s="1"/>
    </row>
    <row r="1403" spans="1:8" ht="15.75" customHeight="1">
      <c r="A1403" s="6">
        <v>1399</v>
      </c>
      <c r="B1403" s="11" t="s">
        <v>1329</v>
      </c>
      <c r="C1403" s="11">
        <f xml:space="preserve">     10250</f>
        <v>10250</v>
      </c>
      <c r="D1403" s="11"/>
      <c r="E1403" s="17"/>
      <c r="F1403" s="12"/>
      <c r="G1403" s="8">
        <f t="shared" si="21"/>
        <v>0</v>
      </c>
      <c r="H1403" s="1"/>
    </row>
    <row r="1404" spans="1:8" ht="15.75" customHeight="1">
      <c r="A1404" s="6">
        <v>1400</v>
      </c>
      <c r="B1404" s="11" t="s">
        <v>1330</v>
      </c>
      <c r="C1404" s="11">
        <f xml:space="preserve">     74250</f>
        <v>74250</v>
      </c>
      <c r="D1404" s="11"/>
      <c r="E1404" s="17"/>
      <c r="F1404" s="12"/>
      <c r="G1404" s="8">
        <f t="shared" si="21"/>
        <v>0</v>
      </c>
      <c r="H1404" s="1"/>
    </row>
    <row r="1405" spans="1:8" ht="15.75" customHeight="1">
      <c r="A1405" s="6">
        <v>1401</v>
      </c>
      <c r="B1405" s="11" t="s">
        <v>1331</v>
      </c>
      <c r="C1405" s="11">
        <f xml:space="preserve">     12500</f>
        <v>12500</v>
      </c>
      <c r="D1405" s="11"/>
      <c r="E1405" s="17"/>
      <c r="F1405" s="12"/>
      <c r="G1405" s="8">
        <f t="shared" si="21"/>
        <v>0</v>
      </c>
      <c r="H1405" s="1"/>
    </row>
    <row r="1406" spans="1:8" ht="15.75" customHeight="1">
      <c r="A1406" s="6">
        <v>1402</v>
      </c>
      <c r="B1406" s="11" t="s">
        <v>1332</v>
      </c>
      <c r="C1406" s="11">
        <f xml:space="preserve">     15400</f>
        <v>15400</v>
      </c>
      <c r="D1406" s="11"/>
      <c r="E1406" s="17"/>
      <c r="F1406" s="12"/>
      <c r="G1406" s="8">
        <f t="shared" si="21"/>
        <v>0</v>
      </c>
      <c r="H1406" s="1"/>
    </row>
    <row r="1407" spans="1:8" ht="15.75" customHeight="1">
      <c r="A1407" s="6">
        <v>1403</v>
      </c>
      <c r="B1407" s="11" t="s">
        <v>1333</v>
      </c>
      <c r="C1407" s="11">
        <f xml:space="preserve">    146300</f>
        <v>146300</v>
      </c>
      <c r="D1407" s="11"/>
      <c r="E1407" s="17"/>
      <c r="F1407" s="12"/>
      <c r="G1407" s="8">
        <f t="shared" si="21"/>
        <v>0</v>
      </c>
      <c r="H1407" s="1"/>
    </row>
    <row r="1408" spans="1:8" ht="15.75" customHeight="1">
      <c r="A1408" s="6">
        <v>1404</v>
      </c>
      <c r="B1408" s="11" t="s">
        <v>1334</v>
      </c>
      <c r="C1408" s="11">
        <f xml:space="preserve">     22700</f>
        <v>22700</v>
      </c>
      <c r="D1408" s="11"/>
      <c r="E1408" s="17"/>
      <c r="F1408" s="12"/>
      <c r="G1408" s="8">
        <f t="shared" si="21"/>
        <v>0</v>
      </c>
      <c r="H1408" s="1"/>
    </row>
    <row r="1409" spans="1:8" ht="15.75" customHeight="1">
      <c r="A1409" s="6">
        <v>1405</v>
      </c>
      <c r="B1409" s="11" t="s">
        <v>1335</v>
      </c>
      <c r="C1409" s="11">
        <f xml:space="preserve">    110300</f>
        <v>110300</v>
      </c>
      <c r="D1409" s="11"/>
      <c r="E1409" s="17"/>
      <c r="F1409" s="12"/>
      <c r="G1409" s="8">
        <f t="shared" si="21"/>
        <v>0</v>
      </c>
      <c r="H1409" s="1"/>
    </row>
    <row r="1410" spans="1:8" ht="15.75" customHeight="1">
      <c r="A1410" s="6">
        <v>1406</v>
      </c>
      <c r="B1410" s="11" t="s">
        <v>1336</v>
      </c>
      <c r="C1410" s="11">
        <f xml:space="preserve">     89950</f>
        <v>89950</v>
      </c>
      <c r="D1410" s="11"/>
      <c r="E1410" s="17"/>
      <c r="F1410" s="12"/>
      <c r="G1410" s="8">
        <f t="shared" ref="G1410:G1472" si="22">C1410*D1410+E1410*F1410</f>
        <v>0</v>
      </c>
      <c r="H1410" s="1"/>
    </row>
    <row r="1411" spans="1:8" ht="15.75" customHeight="1">
      <c r="A1411" s="6">
        <v>1407</v>
      </c>
      <c r="B1411" s="11" t="s">
        <v>1337</v>
      </c>
      <c r="C1411" s="11">
        <f xml:space="preserve">     74900</f>
        <v>74900</v>
      </c>
      <c r="D1411" s="11"/>
      <c r="E1411" s="17"/>
      <c r="F1411" s="12"/>
      <c r="G1411" s="8">
        <f t="shared" si="22"/>
        <v>0</v>
      </c>
      <c r="H1411" s="1"/>
    </row>
    <row r="1412" spans="1:8" ht="15.75" customHeight="1">
      <c r="A1412" s="6">
        <v>1408</v>
      </c>
      <c r="B1412" s="11" t="s">
        <v>1338</v>
      </c>
      <c r="C1412" s="11">
        <f xml:space="preserve">     30250</f>
        <v>30250</v>
      </c>
      <c r="D1412" s="11"/>
      <c r="E1412" s="17"/>
      <c r="F1412" s="12"/>
      <c r="G1412" s="8">
        <f t="shared" si="22"/>
        <v>0</v>
      </c>
      <c r="H1412" s="1"/>
    </row>
    <row r="1413" spans="1:8" ht="15.75" customHeight="1">
      <c r="A1413" s="6">
        <v>1409</v>
      </c>
      <c r="B1413" s="11" t="s">
        <v>1339</v>
      </c>
      <c r="C1413" s="11">
        <f xml:space="preserve">    200850</f>
        <v>200850</v>
      </c>
      <c r="D1413" s="11"/>
      <c r="E1413" s="17"/>
      <c r="F1413" s="12"/>
      <c r="G1413" s="8">
        <f t="shared" si="22"/>
        <v>0</v>
      </c>
      <c r="H1413" s="1"/>
    </row>
    <row r="1414" spans="1:8" ht="15.75" customHeight="1">
      <c r="A1414" s="6">
        <v>1410</v>
      </c>
      <c r="B1414" s="11" t="s">
        <v>1340</v>
      </c>
      <c r="C1414" s="11">
        <f xml:space="preserve">     81100</f>
        <v>81100</v>
      </c>
      <c r="D1414" s="11"/>
      <c r="E1414" s="17"/>
      <c r="F1414" s="12"/>
      <c r="G1414" s="8">
        <f t="shared" si="22"/>
        <v>0</v>
      </c>
      <c r="H1414" s="1"/>
    </row>
    <row r="1415" spans="1:8" ht="15.75" customHeight="1">
      <c r="A1415" s="6">
        <v>1411</v>
      </c>
      <c r="B1415" s="11" t="s">
        <v>1341</v>
      </c>
      <c r="C1415" s="11">
        <f xml:space="preserve">     40800</f>
        <v>40800</v>
      </c>
      <c r="D1415" s="11"/>
      <c r="E1415" s="17"/>
      <c r="F1415" s="12"/>
      <c r="G1415" s="8">
        <f t="shared" si="22"/>
        <v>0</v>
      </c>
      <c r="H1415" s="1"/>
    </row>
    <row r="1416" spans="1:8" ht="15.75" customHeight="1">
      <c r="A1416" s="6">
        <v>1412</v>
      </c>
      <c r="B1416" s="11" t="s">
        <v>1342</v>
      </c>
      <c r="C1416" s="11">
        <f xml:space="preserve">     72900</f>
        <v>72900</v>
      </c>
      <c r="D1416" s="11"/>
      <c r="E1416" s="17"/>
      <c r="F1416" s="12"/>
      <c r="G1416" s="8">
        <f t="shared" si="22"/>
        <v>0</v>
      </c>
      <c r="H1416" s="1"/>
    </row>
    <row r="1417" spans="1:8" ht="15.75" customHeight="1">
      <c r="A1417" s="6">
        <v>1413</v>
      </c>
      <c r="B1417" s="11" t="s">
        <v>1343</v>
      </c>
      <c r="C1417" s="11">
        <f xml:space="preserve">     22950</f>
        <v>22950</v>
      </c>
      <c r="D1417" s="11"/>
      <c r="E1417" s="17"/>
      <c r="F1417" s="12"/>
      <c r="G1417" s="8">
        <f t="shared" si="22"/>
        <v>0</v>
      </c>
      <c r="H1417" s="1"/>
    </row>
    <row r="1418" spans="1:8" ht="15.75" customHeight="1">
      <c r="A1418" s="6">
        <v>1414</v>
      </c>
      <c r="B1418" s="11" t="s">
        <v>1344</v>
      </c>
      <c r="C1418" s="11">
        <f xml:space="preserve">     34600</f>
        <v>34600</v>
      </c>
      <c r="D1418" s="11"/>
      <c r="E1418" s="17"/>
      <c r="F1418" s="12"/>
      <c r="G1418" s="8">
        <f t="shared" si="22"/>
        <v>0</v>
      </c>
      <c r="H1418" s="1"/>
    </row>
    <row r="1419" spans="1:8" ht="15.75" customHeight="1">
      <c r="A1419" s="6">
        <v>1415</v>
      </c>
      <c r="B1419" s="11" t="s">
        <v>1345</v>
      </c>
      <c r="C1419" s="11">
        <f xml:space="preserve">     23350</f>
        <v>23350</v>
      </c>
      <c r="D1419" s="11"/>
      <c r="E1419" s="17"/>
      <c r="F1419" s="12"/>
      <c r="G1419" s="8">
        <f t="shared" si="22"/>
        <v>0</v>
      </c>
      <c r="H1419" s="1"/>
    </row>
    <row r="1420" spans="1:8" ht="15.75" customHeight="1">
      <c r="A1420" s="6">
        <v>1416</v>
      </c>
      <c r="B1420" s="11" t="s">
        <v>1346</v>
      </c>
      <c r="C1420" s="11">
        <f xml:space="preserve">     63700</f>
        <v>63700</v>
      </c>
      <c r="D1420" s="11"/>
      <c r="E1420" s="17"/>
      <c r="F1420" s="12"/>
      <c r="G1420" s="8">
        <f t="shared" si="22"/>
        <v>0</v>
      </c>
      <c r="H1420" s="1"/>
    </row>
    <row r="1421" spans="1:8" ht="15.75" customHeight="1">
      <c r="A1421" s="6">
        <v>1417</v>
      </c>
      <c r="B1421" s="11" t="s">
        <v>1347</v>
      </c>
      <c r="C1421" s="11">
        <f xml:space="preserve">     25700</f>
        <v>25700</v>
      </c>
      <c r="D1421" s="11"/>
      <c r="E1421" s="17"/>
      <c r="F1421" s="12"/>
      <c r="G1421" s="8">
        <f t="shared" si="22"/>
        <v>0</v>
      </c>
      <c r="H1421" s="1"/>
    </row>
    <row r="1422" spans="1:8" ht="15.75" customHeight="1">
      <c r="A1422" s="6">
        <v>1418</v>
      </c>
      <c r="B1422" s="11" t="s">
        <v>1348</v>
      </c>
      <c r="C1422" s="11">
        <f xml:space="preserve">    496800</f>
        <v>496800</v>
      </c>
      <c r="D1422" s="11"/>
      <c r="E1422" s="17"/>
      <c r="F1422" s="12"/>
      <c r="G1422" s="8">
        <f t="shared" si="22"/>
        <v>0</v>
      </c>
      <c r="H1422" s="1"/>
    </row>
    <row r="1423" spans="1:8" ht="15.75" customHeight="1">
      <c r="A1423" s="6">
        <v>1419</v>
      </c>
      <c r="B1423" s="11" t="s">
        <v>1349</v>
      </c>
      <c r="C1423" s="11">
        <f xml:space="preserve">     36700</f>
        <v>36700</v>
      </c>
      <c r="D1423" s="11"/>
      <c r="E1423" s="17"/>
      <c r="F1423" s="12"/>
      <c r="G1423" s="8">
        <f t="shared" si="22"/>
        <v>0</v>
      </c>
      <c r="H1423" s="1"/>
    </row>
    <row r="1424" spans="1:8" ht="15.75" customHeight="1">
      <c r="A1424" s="6">
        <v>1420</v>
      </c>
      <c r="B1424" s="11" t="s">
        <v>1350</v>
      </c>
      <c r="C1424" s="11">
        <f xml:space="preserve">     83600</f>
        <v>83600</v>
      </c>
      <c r="D1424" s="11"/>
      <c r="E1424" s="17"/>
      <c r="F1424" s="12"/>
      <c r="G1424" s="8">
        <f t="shared" si="22"/>
        <v>0</v>
      </c>
      <c r="H1424" s="1"/>
    </row>
    <row r="1425" spans="1:8" ht="15.75" customHeight="1">
      <c r="A1425" s="6">
        <v>1421</v>
      </c>
      <c r="B1425" s="11" t="s">
        <v>1351</v>
      </c>
      <c r="C1425" s="11">
        <f xml:space="preserve">     16350</f>
        <v>16350</v>
      </c>
      <c r="D1425" s="11"/>
      <c r="E1425" s="17"/>
      <c r="F1425" s="12"/>
      <c r="G1425" s="8">
        <f t="shared" si="22"/>
        <v>0</v>
      </c>
      <c r="H1425" s="1"/>
    </row>
    <row r="1426" spans="1:8" ht="15.75" customHeight="1">
      <c r="A1426" s="6">
        <v>1422</v>
      </c>
      <c r="B1426" s="11" t="s">
        <v>1352</v>
      </c>
      <c r="C1426" s="11">
        <f xml:space="preserve">     67550</f>
        <v>67550</v>
      </c>
      <c r="D1426" s="11"/>
      <c r="E1426" s="17"/>
      <c r="F1426" s="12"/>
      <c r="G1426" s="8">
        <f t="shared" si="22"/>
        <v>0</v>
      </c>
      <c r="H1426" s="1"/>
    </row>
    <row r="1427" spans="1:8" ht="15.75" customHeight="1">
      <c r="A1427" s="6">
        <v>1423</v>
      </c>
      <c r="B1427" s="11" t="s">
        <v>1353</v>
      </c>
      <c r="C1427" s="11">
        <f xml:space="preserve">     57300</f>
        <v>57300</v>
      </c>
      <c r="D1427" s="11"/>
      <c r="E1427" s="17"/>
      <c r="F1427" s="12"/>
      <c r="G1427" s="8">
        <f t="shared" si="22"/>
        <v>0</v>
      </c>
      <c r="H1427" s="1"/>
    </row>
    <row r="1428" spans="1:8" ht="15.75" customHeight="1">
      <c r="A1428" s="6">
        <v>1424</v>
      </c>
      <c r="B1428" s="11" t="s">
        <v>1354</v>
      </c>
      <c r="C1428" s="11">
        <f xml:space="preserve">     33600</f>
        <v>33600</v>
      </c>
      <c r="D1428" s="11"/>
      <c r="E1428" s="17"/>
      <c r="F1428" s="12"/>
      <c r="G1428" s="8">
        <f t="shared" si="22"/>
        <v>0</v>
      </c>
      <c r="H1428" s="1"/>
    </row>
    <row r="1429" spans="1:8" ht="15.75" customHeight="1">
      <c r="A1429" s="6">
        <v>1425</v>
      </c>
      <c r="B1429" s="11" t="s">
        <v>1355</v>
      </c>
      <c r="C1429" s="11">
        <f xml:space="preserve">     38000</f>
        <v>38000</v>
      </c>
      <c r="D1429" s="11"/>
      <c r="E1429" s="17"/>
      <c r="F1429" s="12"/>
      <c r="G1429" s="8">
        <f t="shared" si="22"/>
        <v>0</v>
      </c>
      <c r="H1429" s="1"/>
    </row>
    <row r="1430" spans="1:8" ht="15.75" customHeight="1">
      <c r="A1430" s="6">
        <v>1426</v>
      </c>
      <c r="B1430" s="11" t="s">
        <v>1356</v>
      </c>
      <c r="C1430" s="11">
        <f xml:space="preserve">      1045</f>
        <v>1045</v>
      </c>
      <c r="D1430" s="11"/>
      <c r="E1430" s="17"/>
      <c r="F1430" s="12"/>
      <c r="G1430" s="8">
        <f t="shared" si="22"/>
        <v>0</v>
      </c>
      <c r="H1430" s="1"/>
    </row>
    <row r="1431" spans="1:8" ht="15.75" customHeight="1">
      <c r="A1431" s="6">
        <v>1427</v>
      </c>
      <c r="B1431" s="11" t="s">
        <v>1357</v>
      </c>
      <c r="C1431" s="11">
        <f xml:space="preserve">      1650</f>
        <v>1650</v>
      </c>
      <c r="D1431" s="11"/>
      <c r="E1431" s="17"/>
      <c r="F1431" s="12"/>
      <c r="G1431" s="8">
        <f t="shared" si="22"/>
        <v>0</v>
      </c>
      <c r="H1431" s="1"/>
    </row>
    <row r="1432" spans="1:8" ht="15.75" customHeight="1">
      <c r="A1432" s="6">
        <v>1428</v>
      </c>
      <c r="B1432" s="11" t="s">
        <v>1357</v>
      </c>
      <c r="C1432" s="11">
        <f xml:space="preserve">      1650</f>
        <v>1650</v>
      </c>
      <c r="D1432" s="11"/>
      <c r="E1432" s="17"/>
      <c r="F1432" s="12"/>
      <c r="G1432" s="8">
        <f t="shared" si="22"/>
        <v>0</v>
      </c>
      <c r="H1432" s="1"/>
    </row>
    <row r="1433" spans="1:8" ht="15.75" customHeight="1">
      <c r="A1433" s="6">
        <v>1429</v>
      </c>
      <c r="B1433" s="11" t="s">
        <v>1358</v>
      </c>
      <c r="C1433" s="11">
        <f xml:space="preserve">     60300</f>
        <v>60300</v>
      </c>
      <c r="D1433" s="11"/>
      <c r="E1433" s="17"/>
      <c r="F1433" s="12"/>
      <c r="G1433" s="8">
        <f t="shared" si="22"/>
        <v>0</v>
      </c>
      <c r="H1433" s="1"/>
    </row>
    <row r="1434" spans="1:8" ht="15.75" customHeight="1">
      <c r="A1434" s="6">
        <v>1430</v>
      </c>
      <c r="B1434" s="11" t="s">
        <v>1359</v>
      </c>
      <c r="C1434" s="11">
        <f xml:space="preserve">     64750</f>
        <v>64750</v>
      </c>
      <c r="D1434" s="11"/>
      <c r="E1434" s="17"/>
      <c r="F1434" s="12"/>
      <c r="G1434" s="8">
        <f t="shared" si="22"/>
        <v>0</v>
      </c>
      <c r="H1434" s="1"/>
    </row>
    <row r="1435" spans="1:8" ht="15.75" customHeight="1">
      <c r="A1435" s="6">
        <v>1431</v>
      </c>
      <c r="B1435" s="11" t="s">
        <v>1360</v>
      </c>
      <c r="C1435" s="11">
        <f xml:space="preserve">    128650</f>
        <v>128650</v>
      </c>
      <c r="D1435" s="11"/>
      <c r="E1435" s="17"/>
      <c r="F1435" s="12"/>
      <c r="G1435" s="8">
        <f t="shared" si="22"/>
        <v>0</v>
      </c>
      <c r="H1435" s="1"/>
    </row>
    <row r="1436" spans="1:8" ht="15.75" customHeight="1">
      <c r="A1436" s="6">
        <v>1432</v>
      </c>
      <c r="B1436" s="11" t="s">
        <v>1361</v>
      </c>
      <c r="C1436" s="11">
        <f xml:space="preserve">     39900</f>
        <v>39900</v>
      </c>
      <c r="D1436" s="11"/>
      <c r="E1436" s="17"/>
      <c r="F1436" s="12"/>
      <c r="G1436" s="8">
        <f t="shared" si="22"/>
        <v>0</v>
      </c>
      <c r="H1436" s="1"/>
    </row>
    <row r="1437" spans="1:8" ht="15.75" customHeight="1">
      <c r="A1437" s="6">
        <v>1433</v>
      </c>
      <c r="B1437" s="11" t="s">
        <v>1362</v>
      </c>
      <c r="C1437" s="11">
        <f xml:space="preserve">     21800</f>
        <v>21800</v>
      </c>
      <c r="D1437" s="11"/>
      <c r="E1437" s="17"/>
      <c r="F1437" s="12"/>
      <c r="G1437" s="8">
        <f t="shared" si="22"/>
        <v>0</v>
      </c>
      <c r="H1437" s="1"/>
    </row>
    <row r="1438" spans="1:8" ht="15.75" customHeight="1">
      <c r="A1438" s="6">
        <v>1434</v>
      </c>
      <c r="B1438" s="11" t="s">
        <v>1363</v>
      </c>
      <c r="C1438" s="11">
        <f xml:space="preserve">      6600</f>
        <v>6600</v>
      </c>
      <c r="D1438" s="11"/>
      <c r="E1438" s="17"/>
      <c r="F1438" s="12"/>
      <c r="G1438" s="8">
        <f t="shared" si="22"/>
        <v>0</v>
      </c>
      <c r="H1438" s="1"/>
    </row>
    <row r="1439" spans="1:8" ht="15.75" customHeight="1">
      <c r="A1439" s="6">
        <v>1435</v>
      </c>
      <c r="B1439" s="11" t="s">
        <v>1364</v>
      </c>
      <c r="C1439" s="11">
        <f xml:space="preserve">      8800</f>
        <v>8800</v>
      </c>
      <c r="D1439" s="11"/>
      <c r="E1439" s="17"/>
      <c r="F1439" s="12"/>
      <c r="G1439" s="8">
        <f t="shared" si="22"/>
        <v>0</v>
      </c>
      <c r="H1439" s="1"/>
    </row>
    <row r="1440" spans="1:8" ht="15.75" customHeight="1">
      <c r="A1440" s="6">
        <v>1436</v>
      </c>
      <c r="B1440" s="11" t="s">
        <v>1365</v>
      </c>
      <c r="C1440" s="11">
        <f xml:space="preserve">     60000</f>
        <v>60000</v>
      </c>
      <c r="D1440" s="11"/>
      <c r="E1440" s="17"/>
      <c r="F1440" s="12"/>
      <c r="G1440" s="8">
        <f t="shared" si="22"/>
        <v>0</v>
      </c>
      <c r="H1440" s="1"/>
    </row>
    <row r="1441" spans="1:8" ht="15.75" customHeight="1">
      <c r="A1441" s="6">
        <v>1437</v>
      </c>
      <c r="B1441" s="11" t="s">
        <v>1366</v>
      </c>
      <c r="C1441" s="11">
        <f xml:space="preserve">     52550</f>
        <v>52550</v>
      </c>
      <c r="D1441" s="11"/>
      <c r="E1441" s="17"/>
      <c r="F1441" s="12"/>
      <c r="G1441" s="8">
        <f t="shared" si="22"/>
        <v>0</v>
      </c>
      <c r="H1441" s="1"/>
    </row>
    <row r="1442" spans="1:8" ht="15.75" customHeight="1">
      <c r="A1442" s="6">
        <v>1438</v>
      </c>
      <c r="B1442" s="11" t="s">
        <v>1367</v>
      </c>
      <c r="C1442" s="11">
        <f xml:space="preserve">     24650</f>
        <v>24650</v>
      </c>
      <c r="D1442" s="11"/>
      <c r="E1442" s="17"/>
      <c r="F1442" s="12"/>
      <c r="G1442" s="8">
        <f t="shared" si="22"/>
        <v>0</v>
      </c>
      <c r="H1442" s="1"/>
    </row>
    <row r="1443" spans="1:8" ht="15.75" customHeight="1">
      <c r="A1443" s="6">
        <v>1439</v>
      </c>
      <c r="B1443" s="11" t="s">
        <v>1368</v>
      </c>
      <c r="C1443" s="11">
        <f xml:space="preserve">     20250</f>
        <v>20250</v>
      </c>
      <c r="D1443" s="11"/>
      <c r="E1443" s="17"/>
      <c r="F1443" s="12"/>
      <c r="G1443" s="8">
        <f t="shared" si="22"/>
        <v>0</v>
      </c>
      <c r="H1443" s="1"/>
    </row>
    <row r="1444" spans="1:8" ht="15.75" customHeight="1">
      <c r="A1444" s="6">
        <v>1440</v>
      </c>
      <c r="B1444" s="11" t="s">
        <v>1369</v>
      </c>
      <c r="C1444" s="11">
        <f xml:space="preserve">     87350</f>
        <v>87350</v>
      </c>
      <c r="D1444" s="11"/>
      <c r="E1444" s="17"/>
      <c r="F1444" s="12"/>
      <c r="G1444" s="8">
        <f t="shared" si="22"/>
        <v>0</v>
      </c>
      <c r="H1444" s="1"/>
    </row>
    <row r="1445" spans="1:8" ht="15.75" customHeight="1">
      <c r="A1445" s="6">
        <v>1441</v>
      </c>
      <c r="B1445" s="11" t="s">
        <v>1370</v>
      </c>
      <c r="C1445" s="11">
        <f xml:space="preserve">     43450</f>
        <v>43450</v>
      </c>
      <c r="D1445" s="11"/>
      <c r="E1445" s="17"/>
      <c r="F1445" s="12"/>
      <c r="G1445" s="8">
        <f t="shared" si="22"/>
        <v>0</v>
      </c>
      <c r="H1445" s="1"/>
    </row>
    <row r="1446" spans="1:8" ht="15.75" customHeight="1">
      <c r="A1446" s="6">
        <v>1442</v>
      </c>
      <c r="B1446" s="11" t="s">
        <v>1371</v>
      </c>
      <c r="C1446" s="11">
        <f xml:space="preserve">     20550</f>
        <v>20550</v>
      </c>
      <c r="D1446" s="11"/>
      <c r="E1446" s="17"/>
      <c r="F1446" s="12"/>
      <c r="G1446" s="8">
        <f t="shared" si="22"/>
        <v>0</v>
      </c>
      <c r="H1446" s="1"/>
    </row>
    <row r="1447" spans="1:8" ht="15.75" customHeight="1">
      <c r="A1447" s="6">
        <v>1443</v>
      </c>
      <c r="B1447" s="11" t="s">
        <v>1372</v>
      </c>
      <c r="C1447" s="11">
        <f xml:space="preserve">     49300</f>
        <v>49300</v>
      </c>
      <c r="D1447" s="11"/>
      <c r="E1447" s="17"/>
      <c r="F1447" s="12"/>
      <c r="G1447" s="8">
        <f t="shared" si="22"/>
        <v>0</v>
      </c>
      <c r="H1447" s="1"/>
    </row>
    <row r="1448" spans="1:8" ht="15.75" customHeight="1">
      <c r="A1448" s="6">
        <v>1444</v>
      </c>
      <c r="B1448" s="11" t="s">
        <v>1373</v>
      </c>
      <c r="C1448" s="11">
        <f xml:space="preserve">     69100</f>
        <v>69100</v>
      </c>
      <c r="D1448" s="11"/>
      <c r="E1448" s="17"/>
      <c r="F1448" s="12"/>
      <c r="G1448" s="8">
        <f t="shared" si="22"/>
        <v>0</v>
      </c>
      <c r="H1448" s="1"/>
    </row>
    <row r="1449" spans="1:8" ht="15.75" customHeight="1">
      <c r="A1449" s="6">
        <v>1445</v>
      </c>
      <c r="B1449" s="11" t="s">
        <v>1374</v>
      </c>
      <c r="C1449" s="11">
        <f xml:space="preserve">     21250</f>
        <v>21250</v>
      </c>
      <c r="D1449" s="11"/>
      <c r="E1449" s="17"/>
      <c r="F1449" s="12"/>
      <c r="G1449" s="8">
        <f t="shared" si="22"/>
        <v>0</v>
      </c>
      <c r="H1449" s="1"/>
    </row>
    <row r="1450" spans="1:8" ht="15.75" customHeight="1">
      <c r="A1450" s="6">
        <v>1446</v>
      </c>
      <c r="B1450" s="11" t="s">
        <v>1375</v>
      </c>
      <c r="C1450" s="11">
        <f xml:space="preserve">     30850</f>
        <v>30850</v>
      </c>
      <c r="D1450" s="11"/>
      <c r="E1450" s="17"/>
      <c r="F1450" s="12"/>
      <c r="G1450" s="8">
        <f t="shared" si="22"/>
        <v>0</v>
      </c>
      <c r="H1450" s="1"/>
    </row>
    <row r="1451" spans="1:8" ht="15.75" customHeight="1">
      <c r="A1451" s="6">
        <v>1447</v>
      </c>
      <c r="B1451" s="11" t="s">
        <v>1376</v>
      </c>
      <c r="C1451" s="11">
        <f xml:space="preserve">     22600</f>
        <v>22600</v>
      </c>
      <c r="D1451" s="11"/>
      <c r="E1451" s="17"/>
      <c r="F1451" s="12"/>
      <c r="G1451" s="8">
        <f t="shared" si="22"/>
        <v>0</v>
      </c>
      <c r="H1451" s="1"/>
    </row>
    <row r="1452" spans="1:8" ht="15.75" customHeight="1">
      <c r="A1452" s="6">
        <v>1448</v>
      </c>
      <c r="B1452" s="11" t="s">
        <v>1377</v>
      </c>
      <c r="C1452" s="11">
        <f xml:space="preserve">     25000</f>
        <v>25000</v>
      </c>
      <c r="D1452" s="11"/>
      <c r="E1452" s="17"/>
      <c r="F1452" s="12"/>
      <c r="G1452" s="8">
        <f t="shared" si="22"/>
        <v>0</v>
      </c>
      <c r="H1452" s="1"/>
    </row>
    <row r="1453" spans="1:8" ht="15.75" customHeight="1">
      <c r="A1453" s="6">
        <v>1449</v>
      </c>
      <c r="B1453" s="11" t="s">
        <v>1378</v>
      </c>
      <c r="C1453" s="11">
        <f xml:space="preserve">     19800</f>
        <v>19800</v>
      </c>
      <c r="D1453" s="11"/>
      <c r="E1453" s="17"/>
      <c r="F1453" s="12"/>
      <c r="G1453" s="8">
        <f t="shared" si="22"/>
        <v>0</v>
      </c>
      <c r="H1453" s="1"/>
    </row>
    <row r="1454" spans="1:8" ht="15.75" customHeight="1">
      <c r="A1454" s="6">
        <v>1450</v>
      </c>
      <c r="B1454" s="11" t="s">
        <v>1379</v>
      </c>
      <c r="C1454" s="11">
        <f xml:space="preserve">     41650</f>
        <v>41650</v>
      </c>
      <c r="D1454" s="11"/>
      <c r="E1454" s="17"/>
      <c r="F1454" s="12"/>
      <c r="G1454" s="8">
        <f t="shared" si="22"/>
        <v>0</v>
      </c>
      <c r="H1454" s="1"/>
    </row>
    <row r="1455" spans="1:8" ht="15.75" customHeight="1">
      <c r="A1455" s="6">
        <v>1451</v>
      </c>
      <c r="B1455" s="11" t="s">
        <v>1380</v>
      </c>
      <c r="C1455" s="11">
        <f xml:space="preserve">     99250</f>
        <v>99250</v>
      </c>
      <c r="D1455" s="11"/>
      <c r="E1455" s="17"/>
      <c r="F1455" s="12"/>
      <c r="G1455" s="8">
        <f t="shared" si="22"/>
        <v>0</v>
      </c>
      <c r="H1455" s="1"/>
    </row>
    <row r="1456" spans="1:8" ht="15.75" customHeight="1">
      <c r="A1456" s="6">
        <v>1452</v>
      </c>
      <c r="B1456" s="11" t="s">
        <v>1381</v>
      </c>
      <c r="C1456" s="11">
        <f xml:space="preserve">    131000</f>
        <v>131000</v>
      </c>
      <c r="D1456" s="11"/>
      <c r="E1456" s="17"/>
      <c r="F1456" s="12"/>
      <c r="G1456" s="8">
        <f t="shared" si="22"/>
        <v>0</v>
      </c>
      <c r="H1456" s="1"/>
    </row>
    <row r="1457" spans="1:8" ht="15.75" customHeight="1">
      <c r="A1457" s="6">
        <v>1453</v>
      </c>
      <c r="B1457" s="11" t="s">
        <v>1382</v>
      </c>
      <c r="C1457" s="11">
        <f xml:space="preserve">      7300</f>
        <v>7300</v>
      </c>
      <c r="D1457" s="11"/>
      <c r="E1457" s="17"/>
      <c r="F1457" s="12"/>
      <c r="G1457" s="8">
        <f t="shared" si="22"/>
        <v>0</v>
      </c>
      <c r="H1457" s="1"/>
    </row>
    <row r="1458" spans="1:8" ht="15.75" customHeight="1">
      <c r="A1458" s="6">
        <v>1454</v>
      </c>
      <c r="B1458" s="11" t="s">
        <v>1383</v>
      </c>
      <c r="C1458" s="11">
        <f xml:space="preserve">      3100</f>
        <v>3100</v>
      </c>
      <c r="D1458" s="11"/>
      <c r="E1458" s="17"/>
      <c r="F1458" s="12"/>
      <c r="G1458" s="8">
        <f t="shared" si="22"/>
        <v>0</v>
      </c>
      <c r="H1458" s="1"/>
    </row>
    <row r="1459" spans="1:8" ht="15.75" customHeight="1">
      <c r="A1459" s="6">
        <v>1455</v>
      </c>
      <c r="B1459" s="11" t="s">
        <v>1384</v>
      </c>
      <c r="C1459" s="11">
        <f xml:space="preserve">      1100</f>
        <v>1100</v>
      </c>
      <c r="D1459" s="11"/>
      <c r="E1459" s="17"/>
      <c r="F1459" s="12"/>
      <c r="G1459" s="8">
        <f t="shared" si="22"/>
        <v>0</v>
      </c>
      <c r="H1459" s="1"/>
    </row>
    <row r="1460" spans="1:8" ht="15.75" customHeight="1">
      <c r="A1460" s="6">
        <v>1456</v>
      </c>
      <c r="B1460" s="11" t="s">
        <v>1385</v>
      </c>
      <c r="C1460" s="11">
        <f xml:space="preserve">     59800</f>
        <v>59800</v>
      </c>
      <c r="D1460" s="11"/>
      <c r="E1460" s="17"/>
      <c r="F1460" s="12"/>
      <c r="G1460" s="8">
        <f t="shared" si="22"/>
        <v>0</v>
      </c>
      <c r="H1460" s="1"/>
    </row>
    <row r="1461" spans="1:8" ht="15.75" customHeight="1">
      <c r="A1461" s="6">
        <v>1457</v>
      </c>
      <c r="B1461" s="11" t="s">
        <v>1386</v>
      </c>
      <c r="C1461" s="11">
        <f xml:space="preserve">    118350</f>
        <v>118350</v>
      </c>
      <c r="D1461" s="11"/>
      <c r="E1461" s="17"/>
      <c r="F1461" s="12"/>
      <c r="G1461" s="8">
        <f t="shared" si="22"/>
        <v>0</v>
      </c>
      <c r="H1461" s="1"/>
    </row>
    <row r="1462" spans="1:8" ht="15.75" customHeight="1">
      <c r="A1462" s="6">
        <v>1458</v>
      </c>
      <c r="B1462" s="11" t="s">
        <v>1387</v>
      </c>
      <c r="C1462" s="11">
        <f xml:space="preserve">      4050</f>
        <v>4050</v>
      </c>
      <c r="D1462" s="11"/>
      <c r="E1462" s="17"/>
      <c r="F1462" s="12"/>
      <c r="G1462" s="8">
        <f t="shared" si="22"/>
        <v>0</v>
      </c>
      <c r="H1462" s="1"/>
    </row>
    <row r="1463" spans="1:8" ht="15.75" customHeight="1">
      <c r="A1463" s="6">
        <v>1459</v>
      </c>
      <c r="B1463" s="11" t="s">
        <v>1388</v>
      </c>
      <c r="C1463" s="11">
        <f xml:space="preserve">     10800</f>
        <v>10800</v>
      </c>
      <c r="D1463" s="11"/>
      <c r="E1463" s="17"/>
      <c r="F1463" s="12"/>
      <c r="G1463" s="8">
        <f t="shared" si="22"/>
        <v>0</v>
      </c>
      <c r="H1463" s="1"/>
    </row>
    <row r="1464" spans="1:8" ht="15.75" customHeight="1">
      <c r="A1464" s="6">
        <v>1460</v>
      </c>
      <c r="B1464" s="11" t="s">
        <v>1389</v>
      </c>
      <c r="C1464" s="11">
        <f xml:space="preserve">      5600</f>
        <v>5600</v>
      </c>
      <c r="D1464" s="11"/>
      <c r="E1464" s="17"/>
      <c r="F1464" s="12"/>
      <c r="G1464" s="8">
        <f t="shared" si="22"/>
        <v>0</v>
      </c>
      <c r="H1464" s="1"/>
    </row>
    <row r="1465" spans="1:8" ht="15.75" customHeight="1">
      <c r="A1465" s="6">
        <v>1461</v>
      </c>
      <c r="B1465" s="11" t="s">
        <v>1389</v>
      </c>
      <c r="C1465" s="11">
        <f xml:space="preserve">      5600</f>
        <v>5600</v>
      </c>
      <c r="D1465" s="11"/>
      <c r="E1465" s="17"/>
      <c r="F1465" s="12"/>
      <c r="G1465" s="8">
        <f t="shared" si="22"/>
        <v>0</v>
      </c>
      <c r="H1465" s="1"/>
    </row>
    <row r="1466" spans="1:8" ht="15.75" customHeight="1">
      <c r="A1466" s="6">
        <v>1462</v>
      </c>
      <c r="B1466" s="11" t="s">
        <v>1390</v>
      </c>
      <c r="C1466" s="11">
        <f xml:space="preserve">      7800</f>
        <v>7800</v>
      </c>
      <c r="D1466" s="11"/>
      <c r="E1466" s="17"/>
      <c r="F1466" s="12"/>
      <c r="G1466" s="8">
        <f t="shared" si="22"/>
        <v>0</v>
      </c>
      <c r="H1466" s="1"/>
    </row>
    <row r="1467" spans="1:8" ht="15.75" customHeight="1">
      <c r="A1467" s="6">
        <v>1463</v>
      </c>
      <c r="B1467" s="11" t="s">
        <v>2476</v>
      </c>
      <c r="C1467" s="11">
        <f xml:space="preserve">       600</f>
        <v>600</v>
      </c>
      <c r="D1467" s="11"/>
      <c r="E1467" s="17"/>
      <c r="F1467" s="12"/>
      <c r="G1467" s="8">
        <f t="shared" si="22"/>
        <v>0</v>
      </c>
      <c r="H1467" s="1"/>
    </row>
    <row r="1468" spans="1:8" ht="15.75" customHeight="1">
      <c r="A1468" s="6">
        <v>1464</v>
      </c>
      <c r="B1468" s="11" t="s">
        <v>1391</v>
      </c>
      <c r="C1468" s="11">
        <f xml:space="preserve">      6100</f>
        <v>6100</v>
      </c>
      <c r="D1468" s="11"/>
      <c r="E1468" s="17"/>
      <c r="F1468" s="12"/>
      <c r="G1468" s="8">
        <f t="shared" si="22"/>
        <v>0</v>
      </c>
      <c r="H1468" s="1"/>
    </row>
    <row r="1469" spans="1:8" ht="15.75" customHeight="1">
      <c r="A1469" s="6">
        <v>1465</v>
      </c>
      <c r="B1469" s="11" t="s">
        <v>1392</v>
      </c>
      <c r="C1469" s="11">
        <f xml:space="preserve">     29950</f>
        <v>29950</v>
      </c>
      <c r="D1469" s="11"/>
      <c r="E1469" s="17"/>
      <c r="F1469" s="12"/>
      <c r="G1469" s="8">
        <f t="shared" si="22"/>
        <v>0</v>
      </c>
      <c r="H1469" s="1"/>
    </row>
    <row r="1470" spans="1:8" ht="15.75" customHeight="1">
      <c r="A1470" s="6">
        <v>1466</v>
      </c>
      <c r="B1470" s="11" t="s">
        <v>1393</v>
      </c>
      <c r="C1470" s="11">
        <f xml:space="preserve">     32100</f>
        <v>32100</v>
      </c>
      <c r="D1470" s="11"/>
      <c r="E1470" s="17"/>
      <c r="F1470" s="12"/>
      <c r="G1470" s="8">
        <f t="shared" si="22"/>
        <v>0</v>
      </c>
      <c r="H1470" s="1"/>
    </row>
    <row r="1471" spans="1:8" ht="15.75" customHeight="1">
      <c r="A1471" s="6">
        <v>1467</v>
      </c>
      <c r="B1471" s="11" t="s">
        <v>1394</v>
      </c>
      <c r="C1471" s="11">
        <f xml:space="preserve">     67550</f>
        <v>67550</v>
      </c>
      <c r="D1471" s="11"/>
      <c r="E1471" s="17"/>
      <c r="F1471" s="12"/>
      <c r="G1471" s="8">
        <f t="shared" si="22"/>
        <v>0</v>
      </c>
      <c r="H1471" s="1"/>
    </row>
    <row r="1472" spans="1:8" ht="15.75" customHeight="1">
      <c r="A1472" s="6">
        <v>1468</v>
      </c>
      <c r="B1472" s="11" t="s">
        <v>1395</v>
      </c>
      <c r="C1472" s="11">
        <f xml:space="preserve">     46150</f>
        <v>46150</v>
      </c>
      <c r="D1472" s="11"/>
      <c r="E1472" s="17"/>
      <c r="F1472" s="12"/>
      <c r="G1472" s="8">
        <f t="shared" si="22"/>
        <v>0</v>
      </c>
      <c r="H1472" s="1"/>
    </row>
    <row r="1473" spans="1:8" ht="15.75" customHeight="1">
      <c r="A1473" s="6">
        <v>1469</v>
      </c>
      <c r="B1473" s="11" t="s">
        <v>1396</v>
      </c>
      <c r="C1473" s="11">
        <f xml:space="preserve">     42500</f>
        <v>42500</v>
      </c>
      <c r="D1473" s="11"/>
      <c r="E1473" s="17"/>
      <c r="F1473" s="12"/>
      <c r="G1473" s="8">
        <f t="shared" ref="G1473:G1536" si="23">C1473*D1473+E1473*F1473</f>
        <v>0</v>
      </c>
      <c r="H1473" s="1"/>
    </row>
    <row r="1474" spans="1:8" ht="15.75" customHeight="1">
      <c r="A1474" s="6">
        <v>1470</v>
      </c>
      <c r="B1474" s="11" t="s">
        <v>1397</v>
      </c>
      <c r="C1474" s="11">
        <f xml:space="preserve">     59400</f>
        <v>59400</v>
      </c>
      <c r="D1474" s="11"/>
      <c r="E1474" s="17"/>
      <c r="F1474" s="12"/>
      <c r="G1474" s="8">
        <f t="shared" si="23"/>
        <v>0</v>
      </c>
      <c r="H1474" s="1"/>
    </row>
    <row r="1475" spans="1:8" ht="15.75" customHeight="1">
      <c r="A1475" s="6">
        <v>1471</v>
      </c>
      <c r="B1475" s="11" t="s">
        <v>1398</v>
      </c>
      <c r="C1475" s="11">
        <f xml:space="preserve">     89900</f>
        <v>89900</v>
      </c>
      <c r="D1475" s="11"/>
      <c r="E1475" s="17"/>
      <c r="F1475" s="12"/>
      <c r="G1475" s="8">
        <f t="shared" si="23"/>
        <v>0</v>
      </c>
      <c r="H1475" s="1"/>
    </row>
    <row r="1476" spans="1:8" ht="15.75" customHeight="1">
      <c r="A1476" s="6">
        <v>1472</v>
      </c>
      <c r="B1476" s="11" t="s">
        <v>1399</v>
      </c>
      <c r="C1476" s="11">
        <f xml:space="preserve">     88750</f>
        <v>88750</v>
      </c>
      <c r="D1476" s="11"/>
      <c r="E1476" s="17"/>
      <c r="F1476" s="12"/>
      <c r="G1476" s="8">
        <f t="shared" si="23"/>
        <v>0</v>
      </c>
      <c r="H1476" s="1"/>
    </row>
    <row r="1477" spans="1:8" ht="15.75" customHeight="1">
      <c r="A1477" s="6">
        <v>1473</v>
      </c>
      <c r="B1477" s="11" t="s">
        <v>1400</v>
      </c>
      <c r="C1477" s="11">
        <f xml:space="preserve">     28000</f>
        <v>28000</v>
      </c>
      <c r="D1477" s="11"/>
      <c r="E1477" s="17"/>
      <c r="F1477" s="12"/>
      <c r="G1477" s="8">
        <f t="shared" si="23"/>
        <v>0</v>
      </c>
      <c r="H1477" s="1"/>
    </row>
    <row r="1478" spans="1:8" ht="15.75" customHeight="1">
      <c r="A1478" s="6">
        <v>1474</v>
      </c>
      <c r="B1478" s="11" t="s">
        <v>1401</v>
      </c>
      <c r="C1478" s="11">
        <f xml:space="preserve">    120300</f>
        <v>120300</v>
      </c>
      <c r="D1478" s="11"/>
      <c r="E1478" s="17"/>
      <c r="F1478" s="12"/>
      <c r="G1478" s="8">
        <f t="shared" si="23"/>
        <v>0</v>
      </c>
      <c r="H1478" s="1"/>
    </row>
    <row r="1479" spans="1:8" ht="15.75" customHeight="1">
      <c r="A1479" s="6">
        <v>1475</v>
      </c>
      <c r="B1479" s="11" t="s">
        <v>1402</v>
      </c>
      <c r="C1479" s="11">
        <f xml:space="preserve">    217000</f>
        <v>217000</v>
      </c>
      <c r="D1479" s="11"/>
      <c r="E1479" s="17"/>
      <c r="F1479" s="12"/>
      <c r="G1479" s="8">
        <f t="shared" si="23"/>
        <v>0</v>
      </c>
      <c r="H1479" s="1"/>
    </row>
    <row r="1480" spans="1:8" ht="15.75" customHeight="1">
      <c r="A1480" s="6">
        <v>1476</v>
      </c>
      <c r="B1480" s="11" t="s">
        <v>1403</v>
      </c>
      <c r="C1480" s="11">
        <f xml:space="preserve">    140000</f>
        <v>140000</v>
      </c>
      <c r="D1480" s="11"/>
      <c r="E1480" s="17"/>
      <c r="F1480" s="12"/>
      <c r="G1480" s="8">
        <f t="shared" si="23"/>
        <v>0</v>
      </c>
      <c r="H1480" s="1"/>
    </row>
    <row r="1481" spans="1:8" ht="15.75" customHeight="1">
      <c r="A1481" s="6">
        <v>1477</v>
      </c>
      <c r="B1481" s="11" t="s">
        <v>1404</v>
      </c>
      <c r="C1481" s="11">
        <f xml:space="preserve">     37700</f>
        <v>37700</v>
      </c>
      <c r="D1481" s="11"/>
      <c r="E1481" s="17"/>
      <c r="F1481" s="12"/>
      <c r="G1481" s="8">
        <f t="shared" si="23"/>
        <v>0</v>
      </c>
      <c r="H1481" s="1"/>
    </row>
    <row r="1482" spans="1:8" ht="15.75" customHeight="1">
      <c r="A1482" s="6">
        <v>1478</v>
      </c>
      <c r="B1482" s="11" t="s">
        <v>1405</v>
      </c>
      <c r="C1482" s="11">
        <f xml:space="preserve">     36150</f>
        <v>36150</v>
      </c>
      <c r="D1482" s="11"/>
      <c r="E1482" s="17"/>
      <c r="F1482" s="12"/>
      <c r="G1482" s="8">
        <f t="shared" si="23"/>
        <v>0</v>
      </c>
      <c r="H1482" s="1"/>
    </row>
    <row r="1483" spans="1:8" ht="15.75" customHeight="1">
      <c r="A1483" s="6">
        <v>1479</v>
      </c>
      <c r="B1483" s="11" t="s">
        <v>1406</v>
      </c>
      <c r="C1483" s="11">
        <f xml:space="preserve">     44450</f>
        <v>44450</v>
      </c>
      <c r="D1483" s="11"/>
      <c r="E1483" s="17"/>
      <c r="F1483" s="12"/>
      <c r="G1483" s="8">
        <f t="shared" si="23"/>
        <v>0</v>
      </c>
      <c r="H1483" s="1"/>
    </row>
    <row r="1484" spans="1:8" ht="15.75" customHeight="1">
      <c r="A1484" s="6">
        <v>1480</v>
      </c>
      <c r="B1484" s="11" t="s">
        <v>1407</v>
      </c>
      <c r="C1484" s="11">
        <f xml:space="preserve">     45800</f>
        <v>45800</v>
      </c>
      <c r="D1484" s="11"/>
      <c r="E1484" s="17"/>
      <c r="F1484" s="12"/>
      <c r="G1484" s="8">
        <f t="shared" si="23"/>
        <v>0</v>
      </c>
      <c r="H1484" s="1"/>
    </row>
    <row r="1485" spans="1:8" ht="15.75" customHeight="1">
      <c r="A1485" s="6">
        <v>1481</v>
      </c>
      <c r="B1485" s="11" t="s">
        <v>1408</v>
      </c>
      <c r="C1485" s="11">
        <f xml:space="preserve">     64600</f>
        <v>64600</v>
      </c>
      <c r="D1485" s="11"/>
      <c r="E1485" s="17"/>
      <c r="F1485" s="12"/>
      <c r="G1485" s="8">
        <f t="shared" si="23"/>
        <v>0</v>
      </c>
      <c r="H1485" s="1"/>
    </row>
    <row r="1486" spans="1:8" ht="15.75" customHeight="1">
      <c r="A1486" s="6">
        <v>1482</v>
      </c>
      <c r="B1486" s="11" t="s">
        <v>1409</v>
      </c>
      <c r="C1486" s="11">
        <f xml:space="preserve">     42750</f>
        <v>42750</v>
      </c>
      <c r="D1486" s="11"/>
      <c r="E1486" s="17"/>
      <c r="F1486" s="12"/>
      <c r="G1486" s="8">
        <f t="shared" si="23"/>
        <v>0</v>
      </c>
      <c r="H1486" s="1"/>
    </row>
    <row r="1487" spans="1:8" ht="15.75" customHeight="1">
      <c r="A1487" s="6">
        <v>1483</v>
      </c>
      <c r="B1487" s="11" t="s">
        <v>1410</v>
      </c>
      <c r="C1487" s="11">
        <f xml:space="preserve">     65750</f>
        <v>65750</v>
      </c>
      <c r="D1487" s="11"/>
      <c r="E1487" s="17"/>
      <c r="F1487" s="12"/>
      <c r="G1487" s="8">
        <f t="shared" si="23"/>
        <v>0</v>
      </c>
      <c r="H1487" s="1"/>
    </row>
    <row r="1488" spans="1:8" ht="15.75" customHeight="1">
      <c r="A1488" s="6">
        <v>1484</v>
      </c>
      <c r="B1488" s="11" t="s">
        <v>1411</v>
      </c>
      <c r="C1488" s="11">
        <f xml:space="preserve">     36700</f>
        <v>36700</v>
      </c>
      <c r="D1488" s="11"/>
      <c r="E1488" s="17"/>
      <c r="F1488" s="12"/>
      <c r="G1488" s="8">
        <f t="shared" si="23"/>
        <v>0</v>
      </c>
      <c r="H1488" s="1"/>
    </row>
    <row r="1489" spans="1:8" ht="15.75" customHeight="1">
      <c r="A1489" s="6">
        <v>1485</v>
      </c>
      <c r="B1489" s="11" t="s">
        <v>1412</v>
      </c>
      <c r="C1489" s="11">
        <f xml:space="preserve">     27500</f>
        <v>27500</v>
      </c>
      <c r="D1489" s="11"/>
      <c r="E1489" s="17"/>
      <c r="F1489" s="12"/>
      <c r="G1489" s="8">
        <f t="shared" si="23"/>
        <v>0</v>
      </c>
      <c r="H1489" s="1"/>
    </row>
    <row r="1490" spans="1:8" ht="15.75" customHeight="1">
      <c r="A1490" s="6">
        <v>1486</v>
      </c>
      <c r="B1490" s="11" t="s">
        <v>1413</v>
      </c>
      <c r="C1490" s="11">
        <f xml:space="preserve">     23950</f>
        <v>23950</v>
      </c>
      <c r="D1490" s="11"/>
      <c r="E1490" s="17"/>
      <c r="F1490" s="12"/>
      <c r="G1490" s="8">
        <f t="shared" si="23"/>
        <v>0</v>
      </c>
      <c r="H1490" s="1"/>
    </row>
    <row r="1491" spans="1:8" ht="15.75" customHeight="1">
      <c r="A1491" s="6">
        <v>1487</v>
      </c>
      <c r="B1491" s="11" t="s">
        <v>1414</v>
      </c>
      <c r="C1491" s="11">
        <f xml:space="preserve">     21700</f>
        <v>21700</v>
      </c>
      <c r="D1491" s="11"/>
      <c r="E1491" s="17"/>
      <c r="F1491" s="12"/>
      <c r="G1491" s="8">
        <f t="shared" si="23"/>
        <v>0</v>
      </c>
      <c r="H1491" s="1"/>
    </row>
    <row r="1492" spans="1:8" ht="15.75" customHeight="1">
      <c r="A1492" s="6">
        <v>1488</v>
      </c>
      <c r="B1492" s="11" t="s">
        <v>1415</v>
      </c>
      <c r="C1492" s="11">
        <f xml:space="preserve">     36300</f>
        <v>36300</v>
      </c>
      <c r="D1492" s="11"/>
      <c r="E1492" s="17"/>
      <c r="F1492" s="12"/>
      <c r="G1492" s="8">
        <f t="shared" si="23"/>
        <v>0</v>
      </c>
      <c r="H1492" s="1"/>
    </row>
    <row r="1493" spans="1:8" ht="15.75" customHeight="1">
      <c r="A1493" s="6">
        <v>1489</v>
      </c>
      <c r="B1493" s="11" t="s">
        <v>1416</v>
      </c>
      <c r="C1493" s="11">
        <f xml:space="preserve">     84600</f>
        <v>84600</v>
      </c>
      <c r="D1493" s="11"/>
      <c r="E1493" s="17"/>
      <c r="F1493" s="12"/>
      <c r="G1493" s="8">
        <f t="shared" si="23"/>
        <v>0</v>
      </c>
      <c r="H1493" s="1"/>
    </row>
    <row r="1494" spans="1:8" ht="15.75" customHeight="1">
      <c r="A1494" s="6">
        <v>1490</v>
      </c>
      <c r="B1494" s="11" t="s">
        <v>1416</v>
      </c>
      <c r="C1494" s="11">
        <f xml:space="preserve">     85400</f>
        <v>85400</v>
      </c>
      <c r="D1494" s="11"/>
      <c r="E1494" s="17"/>
      <c r="F1494" s="12"/>
      <c r="G1494" s="8">
        <f t="shared" si="23"/>
        <v>0</v>
      </c>
      <c r="H1494" s="1"/>
    </row>
    <row r="1495" spans="1:8" ht="15.75" customHeight="1">
      <c r="A1495" s="6">
        <v>1491</v>
      </c>
      <c r="B1495" s="11" t="s">
        <v>1417</v>
      </c>
      <c r="C1495" s="11">
        <f xml:space="preserve">     98800</f>
        <v>98800</v>
      </c>
      <c r="D1495" s="11"/>
      <c r="E1495" s="17"/>
      <c r="F1495" s="12"/>
      <c r="G1495" s="8">
        <f t="shared" si="23"/>
        <v>0</v>
      </c>
      <c r="H1495" s="1"/>
    </row>
    <row r="1496" spans="1:8" ht="15.75" customHeight="1">
      <c r="A1496" s="6">
        <v>1492</v>
      </c>
      <c r="B1496" s="11" t="s">
        <v>1417</v>
      </c>
      <c r="C1496" s="11">
        <f xml:space="preserve">    100750</f>
        <v>100750</v>
      </c>
      <c r="D1496" s="11"/>
      <c r="E1496" s="17"/>
      <c r="F1496" s="12"/>
      <c r="G1496" s="8">
        <f t="shared" si="23"/>
        <v>0</v>
      </c>
      <c r="H1496" s="1"/>
    </row>
    <row r="1497" spans="1:8" ht="15.75" customHeight="1">
      <c r="A1497" s="6">
        <v>1493</v>
      </c>
      <c r="B1497" s="11" t="s">
        <v>1418</v>
      </c>
      <c r="C1497" s="11">
        <f xml:space="preserve">    164850</f>
        <v>164850</v>
      </c>
      <c r="D1497" s="11"/>
      <c r="E1497" s="17"/>
      <c r="F1497" s="12"/>
      <c r="G1497" s="8">
        <f t="shared" si="23"/>
        <v>0</v>
      </c>
      <c r="H1497" s="1"/>
    </row>
    <row r="1498" spans="1:8" ht="15.75" customHeight="1">
      <c r="A1498" s="6">
        <v>1494</v>
      </c>
      <c r="B1498" s="11" t="s">
        <v>1419</v>
      </c>
      <c r="C1498" s="11">
        <f xml:space="preserve">    217950</f>
        <v>217950</v>
      </c>
      <c r="D1498" s="11"/>
      <c r="E1498" s="17"/>
      <c r="F1498" s="12"/>
      <c r="G1498" s="8">
        <f t="shared" si="23"/>
        <v>0</v>
      </c>
      <c r="H1498" s="1"/>
    </row>
    <row r="1499" spans="1:8" ht="15.75" customHeight="1">
      <c r="A1499" s="6">
        <v>1495</v>
      </c>
      <c r="B1499" s="11" t="s">
        <v>1420</v>
      </c>
      <c r="C1499" s="11">
        <f xml:space="preserve">     12450</f>
        <v>12450</v>
      </c>
      <c r="D1499" s="11"/>
      <c r="E1499" s="17"/>
      <c r="F1499" s="12"/>
      <c r="G1499" s="8">
        <f t="shared" si="23"/>
        <v>0</v>
      </c>
      <c r="H1499" s="1"/>
    </row>
    <row r="1500" spans="1:8" ht="15.75" customHeight="1">
      <c r="A1500" s="6">
        <v>1496</v>
      </c>
      <c r="B1500" s="11" t="s">
        <v>1421</v>
      </c>
      <c r="C1500" s="11">
        <f xml:space="preserve">     10400</f>
        <v>10400</v>
      </c>
      <c r="D1500" s="11"/>
      <c r="E1500" s="17"/>
      <c r="F1500" s="12"/>
      <c r="G1500" s="8">
        <f t="shared" si="23"/>
        <v>0</v>
      </c>
      <c r="H1500" s="1"/>
    </row>
    <row r="1501" spans="1:8" ht="15.75" customHeight="1">
      <c r="A1501" s="6">
        <v>1497</v>
      </c>
      <c r="B1501" s="11" t="s">
        <v>1422</v>
      </c>
      <c r="C1501" s="11">
        <f xml:space="preserve">     33200</f>
        <v>33200</v>
      </c>
      <c r="D1501" s="11"/>
      <c r="E1501" s="17"/>
      <c r="F1501" s="12"/>
      <c r="G1501" s="8">
        <f t="shared" si="23"/>
        <v>0</v>
      </c>
      <c r="H1501" s="1"/>
    </row>
    <row r="1502" spans="1:8" ht="15.75" customHeight="1">
      <c r="A1502" s="6">
        <v>1498</v>
      </c>
      <c r="B1502" s="11" t="s">
        <v>1423</v>
      </c>
      <c r="C1502" s="11">
        <f xml:space="preserve">     40050</f>
        <v>40050</v>
      </c>
      <c r="D1502" s="11"/>
      <c r="E1502" s="17"/>
      <c r="F1502" s="12"/>
      <c r="G1502" s="8">
        <f t="shared" si="23"/>
        <v>0</v>
      </c>
      <c r="H1502" s="1"/>
    </row>
    <row r="1503" spans="1:8" ht="15.75" customHeight="1">
      <c r="A1503" s="6">
        <v>1499</v>
      </c>
      <c r="B1503" s="11" t="s">
        <v>1424</v>
      </c>
      <c r="C1503" s="11">
        <f xml:space="preserve">     57950</f>
        <v>57950</v>
      </c>
      <c r="D1503" s="11"/>
      <c r="E1503" s="17"/>
      <c r="F1503" s="12"/>
      <c r="G1503" s="8">
        <f t="shared" si="23"/>
        <v>0</v>
      </c>
      <c r="H1503" s="1"/>
    </row>
    <row r="1504" spans="1:8" ht="15.75" customHeight="1">
      <c r="A1504" s="6">
        <v>1500</v>
      </c>
      <c r="B1504" s="11" t="s">
        <v>1425</v>
      </c>
      <c r="C1504" s="11">
        <f xml:space="preserve">      1550</f>
        <v>1550</v>
      </c>
      <c r="D1504" s="11"/>
      <c r="E1504" s="17"/>
      <c r="F1504" s="12"/>
      <c r="G1504" s="8">
        <f t="shared" si="23"/>
        <v>0</v>
      </c>
      <c r="H1504" s="1"/>
    </row>
    <row r="1505" spans="1:8" ht="15.75" customHeight="1">
      <c r="A1505" s="6">
        <v>1501</v>
      </c>
      <c r="B1505" s="11" t="s">
        <v>1426</v>
      </c>
      <c r="C1505" s="11">
        <f xml:space="preserve">     39200</f>
        <v>39200</v>
      </c>
      <c r="D1505" s="11"/>
      <c r="E1505" s="17"/>
      <c r="F1505" s="12"/>
      <c r="G1505" s="8">
        <f t="shared" si="23"/>
        <v>0</v>
      </c>
      <c r="H1505" s="1"/>
    </row>
    <row r="1506" spans="1:8" ht="15.75" customHeight="1">
      <c r="A1506" s="6">
        <v>1502</v>
      </c>
      <c r="B1506" s="11" t="s">
        <v>1427</v>
      </c>
      <c r="C1506" s="11">
        <f xml:space="preserve">     30800</f>
        <v>30800</v>
      </c>
      <c r="D1506" s="11"/>
      <c r="E1506" s="17"/>
      <c r="F1506" s="12"/>
      <c r="G1506" s="8">
        <f t="shared" si="23"/>
        <v>0</v>
      </c>
      <c r="H1506" s="1"/>
    </row>
    <row r="1507" spans="1:8" ht="15.75" customHeight="1">
      <c r="A1507" s="6">
        <v>1503</v>
      </c>
      <c r="B1507" s="11" t="s">
        <v>1428</v>
      </c>
      <c r="C1507" s="11">
        <f xml:space="preserve">     85400</f>
        <v>85400</v>
      </c>
      <c r="D1507" s="11"/>
      <c r="E1507" s="17"/>
      <c r="F1507" s="12"/>
      <c r="G1507" s="8">
        <f t="shared" si="23"/>
        <v>0</v>
      </c>
      <c r="H1507" s="1"/>
    </row>
    <row r="1508" spans="1:8" ht="15.75" customHeight="1">
      <c r="A1508" s="6">
        <v>1504</v>
      </c>
      <c r="B1508" s="11" t="s">
        <v>1429</v>
      </c>
      <c r="C1508" s="11">
        <f xml:space="preserve">     32400</f>
        <v>32400</v>
      </c>
      <c r="D1508" s="11"/>
      <c r="E1508" s="17"/>
      <c r="F1508" s="12"/>
      <c r="G1508" s="8">
        <f t="shared" si="23"/>
        <v>0</v>
      </c>
      <c r="H1508" s="1"/>
    </row>
    <row r="1509" spans="1:8" ht="15.75" customHeight="1">
      <c r="A1509" s="6">
        <v>1505</v>
      </c>
      <c r="B1509" s="11" t="s">
        <v>1430</v>
      </c>
      <c r="C1509" s="11">
        <f xml:space="preserve">     22800</f>
        <v>22800</v>
      </c>
      <c r="D1509" s="11"/>
      <c r="E1509" s="17"/>
      <c r="F1509" s="12"/>
      <c r="G1509" s="8">
        <f t="shared" si="23"/>
        <v>0</v>
      </c>
      <c r="H1509" s="1"/>
    </row>
    <row r="1510" spans="1:8" ht="15.75" customHeight="1">
      <c r="A1510" s="6">
        <v>1506</v>
      </c>
      <c r="B1510" s="11" t="s">
        <v>1430</v>
      </c>
      <c r="C1510" s="11">
        <f xml:space="preserve">     22550</f>
        <v>22550</v>
      </c>
      <c r="D1510" s="11"/>
      <c r="E1510" s="17"/>
      <c r="F1510" s="12"/>
      <c r="G1510" s="8">
        <f t="shared" si="23"/>
        <v>0</v>
      </c>
      <c r="H1510" s="1"/>
    </row>
    <row r="1511" spans="1:8" ht="15.75" customHeight="1">
      <c r="A1511" s="6">
        <v>1507</v>
      </c>
      <c r="B1511" s="11" t="s">
        <v>1431</v>
      </c>
      <c r="C1511" s="11">
        <f xml:space="preserve">     51250</f>
        <v>51250</v>
      </c>
      <c r="D1511" s="11"/>
      <c r="E1511" s="17"/>
      <c r="F1511" s="12"/>
      <c r="G1511" s="8">
        <f t="shared" si="23"/>
        <v>0</v>
      </c>
      <c r="H1511" s="1"/>
    </row>
    <row r="1512" spans="1:8" ht="15.75" customHeight="1">
      <c r="A1512" s="6">
        <v>1508</v>
      </c>
      <c r="B1512" s="11" t="s">
        <v>1432</v>
      </c>
      <c r="C1512" s="11">
        <f xml:space="preserve">     27500</f>
        <v>27500</v>
      </c>
      <c r="D1512" s="11"/>
      <c r="E1512" s="17"/>
      <c r="F1512" s="12"/>
      <c r="G1512" s="8">
        <f t="shared" si="23"/>
        <v>0</v>
      </c>
      <c r="H1512" s="1"/>
    </row>
    <row r="1513" spans="1:8" ht="15.75" customHeight="1">
      <c r="A1513" s="6">
        <v>1509</v>
      </c>
      <c r="B1513" s="11" t="s">
        <v>1433</v>
      </c>
      <c r="C1513" s="11">
        <f xml:space="preserve">     54100</f>
        <v>54100</v>
      </c>
      <c r="D1513" s="11"/>
      <c r="E1513" s="17"/>
      <c r="F1513" s="12"/>
      <c r="G1513" s="8">
        <f t="shared" si="23"/>
        <v>0</v>
      </c>
      <c r="H1513" s="1"/>
    </row>
    <row r="1514" spans="1:8" ht="15.75" customHeight="1">
      <c r="A1514" s="6">
        <v>1510</v>
      </c>
      <c r="B1514" s="11" t="s">
        <v>1434</v>
      </c>
      <c r="C1514" s="11">
        <f xml:space="preserve">     20450</f>
        <v>20450</v>
      </c>
      <c r="D1514" s="11"/>
      <c r="E1514" s="17"/>
      <c r="F1514" s="12"/>
      <c r="G1514" s="8">
        <f t="shared" si="23"/>
        <v>0</v>
      </c>
      <c r="H1514" s="1"/>
    </row>
    <row r="1515" spans="1:8" ht="15.75" customHeight="1">
      <c r="A1515" s="6">
        <v>1511</v>
      </c>
      <c r="B1515" s="11" t="s">
        <v>1435</v>
      </c>
      <c r="C1515" s="11">
        <f xml:space="preserve">     20800</f>
        <v>20800</v>
      </c>
      <c r="D1515" s="11"/>
      <c r="E1515" s="17"/>
      <c r="F1515" s="12"/>
      <c r="G1515" s="8">
        <f t="shared" si="23"/>
        <v>0</v>
      </c>
      <c r="H1515" s="1"/>
    </row>
    <row r="1516" spans="1:8" ht="15.75" customHeight="1">
      <c r="A1516" s="6">
        <v>1512</v>
      </c>
      <c r="B1516" s="11" t="s">
        <v>1436</v>
      </c>
      <c r="C1516" s="11">
        <f xml:space="preserve">     56800</f>
        <v>56800</v>
      </c>
      <c r="D1516" s="11"/>
      <c r="E1516" s="17"/>
      <c r="F1516" s="12"/>
      <c r="G1516" s="8">
        <f t="shared" si="23"/>
        <v>0</v>
      </c>
      <c r="H1516" s="1"/>
    </row>
    <row r="1517" spans="1:8" ht="15.75" customHeight="1">
      <c r="A1517" s="6">
        <v>1513</v>
      </c>
      <c r="B1517" s="11" t="s">
        <v>1437</v>
      </c>
      <c r="C1517" s="11">
        <f xml:space="preserve">      6450</f>
        <v>6450</v>
      </c>
      <c r="D1517" s="11"/>
      <c r="E1517" s="17"/>
      <c r="F1517" s="12"/>
      <c r="G1517" s="8">
        <f t="shared" si="23"/>
        <v>0</v>
      </c>
      <c r="H1517" s="1"/>
    </row>
    <row r="1518" spans="1:8" ht="15.75" customHeight="1">
      <c r="A1518" s="6">
        <v>1514</v>
      </c>
      <c r="B1518" s="11" t="s">
        <v>1438</v>
      </c>
      <c r="C1518" s="11">
        <f xml:space="preserve">     13100</f>
        <v>13100</v>
      </c>
      <c r="D1518" s="11"/>
      <c r="E1518" s="17"/>
      <c r="F1518" s="12"/>
      <c r="G1518" s="8">
        <f t="shared" si="23"/>
        <v>0</v>
      </c>
      <c r="H1518" s="1"/>
    </row>
    <row r="1519" spans="1:8" ht="15.75" customHeight="1">
      <c r="A1519" s="6">
        <v>1515</v>
      </c>
      <c r="B1519" s="11" t="s">
        <v>1439</v>
      </c>
      <c r="C1519" s="11">
        <f xml:space="preserve">      6750</f>
        <v>6750</v>
      </c>
      <c r="D1519" s="11"/>
      <c r="E1519" s="17"/>
      <c r="F1519" s="12"/>
      <c r="G1519" s="8">
        <f t="shared" si="23"/>
        <v>0</v>
      </c>
      <c r="H1519" s="1"/>
    </row>
    <row r="1520" spans="1:8" ht="15.75" customHeight="1">
      <c r="A1520" s="6">
        <v>1516</v>
      </c>
      <c r="B1520" s="11" t="s">
        <v>1440</v>
      </c>
      <c r="C1520" s="11">
        <f xml:space="preserve">     52300</f>
        <v>52300</v>
      </c>
      <c r="D1520" s="11"/>
      <c r="E1520" s="17"/>
      <c r="F1520" s="12"/>
      <c r="G1520" s="8">
        <f t="shared" si="23"/>
        <v>0</v>
      </c>
      <c r="H1520" s="1"/>
    </row>
    <row r="1521" spans="1:8" ht="15.75" customHeight="1">
      <c r="A1521" s="6">
        <v>1517</v>
      </c>
      <c r="B1521" s="11" t="s">
        <v>1441</v>
      </c>
      <c r="C1521" s="11">
        <f xml:space="preserve">     29100</f>
        <v>29100</v>
      </c>
      <c r="D1521" s="11"/>
      <c r="E1521" s="17"/>
      <c r="F1521" s="12"/>
      <c r="G1521" s="8">
        <f t="shared" si="23"/>
        <v>0</v>
      </c>
      <c r="H1521" s="1"/>
    </row>
    <row r="1522" spans="1:8" ht="15.75" customHeight="1">
      <c r="A1522" s="6">
        <v>1518</v>
      </c>
      <c r="B1522" s="11" t="s">
        <v>1442</v>
      </c>
      <c r="C1522" s="11">
        <f xml:space="preserve">     35950</f>
        <v>35950</v>
      </c>
      <c r="D1522" s="11"/>
      <c r="E1522" s="17"/>
      <c r="F1522" s="12"/>
      <c r="G1522" s="8">
        <f t="shared" si="23"/>
        <v>0</v>
      </c>
      <c r="H1522" s="1"/>
    </row>
    <row r="1523" spans="1:8" ht="15.75" customHeight="1">
      <c r="A1523" s="6">
        <v>1519</v>
      </c>
      <c r="B1523" s="11" t="s">
        <v>1443</v>
      </c>
      <c r="C1523" s="11">
        <f xml:space="preserve">     47400</f>
        <v>47400</v>
      </c>
      <c r="D1523" s="11"/>
      <c r="E1523" s="17"/>
      <c r="F1523" s="12"/>
      <c r="G1523" s="8">
        <f t="shared" si="23"/>
        <v>0</v>
      </c>
      <c r="H1523" s="1"/>
    </row>
    <row r="1524" spans="1:8" ht="15.75" customHeight="1">
      <c r="A1524" s="6">
        <v>1520</v>
      </c>
      <c r="B1524" s="11" t="s">
        <v>1444</v>
      </c>
      <c r="C1524" s="11">
        <f xml:space="preserve">      7200</f>
        <v>7200</v>
      </c>
      <c r="D1524" s="11"/>
      <c r="E1524" s="17"/>
      <c r="F1524" s="12"/>
      <c r="G1524" s="8">
        <f t="shared" si="23"/>
        <v>0</v>
      </c>
      <c r="H1524" s="1"/>
    </row>
    <row r="1525" spans="1:8" ht="15.75" customHeight="1">
      <c r="A1525" s="6">
        <v>1521</v>
      </c>
      <c r="B1525" s="11" t="s">
        <v>1445</v>
      </c>
      <c r="C1525" s="11">
        <f xml:space="preserve">      9500</f>
        <v>9500</v>
      </c>
      <c r="D1525" s="11"/>
      <c r="E1525" s="17"/>
      <c r="F1525" s="12"/>
      <c r="G1525" s="8">
        <f t="shared" si="23"/>
        <v>0</v>
      </c>
      <c r="H1525" s="1"/>
    </row>
    <row r="1526" spans="1:8" ht="15.75" customHeight="1">
      <c r="A1526" s="6">
        <v>1522</v>
      </c>
      <c r="B1526" s="11" t="s">
        <v>1446</v>
      </c>
      <c r="C1526" s="11">
        <f xml:space="preserve">     45200</f>
        <v>45200</v>
      </c>
      <c r="D1526" s="11"/>
      <c r="E1526" s="17"/>
      <c r="F1526" s="12"/>
      <c r="G1526" s="8">
        <f t="shared" si="23"/>
        <v>0</v>
      </c>
      <c r="H1526" s="1"/>
    </row>
    <row r="1527" spans="1:8" ht="15.75" customHeight="1">
      <c r="A1527" s="6">
        <v>1523</v>
      </c>
      <c r="B1527" s="11" t="s">
        <v>1447</v>
      </c>
      <c r="C1527" s="11">
        <f xml:space="preserve">     89150</f>
        <v>89150</v>
      </c>
      <c r="D1527" s="11"/>
      <c r="E1527" s="17"/>
      <c r="F1527" s="12"/>
      <c r="G1527" s="8">
        <f t="shared" si="23"/>
        <v>0</v>
      </c>
      <c r="H1527" s="1"/>
    </row>
    <row r="1528" spans="1:8" ht="15.75" customHeight="1">
      <c r="A1528" s="6">
        <v>1524</v>
      </c>
      <c r="B1528" s="11" t="s">
        <v>1448</v>
      </c>
      <c r="C1528" s="11">
        <f xml:space="preserve">     12550</f>
        <v>12550</v>
      </c>
      <c r="D1528" s="11"/>
      <c r="E1528" s="17"/>
      <c r="F1528" s="12"/>
      <c r="G1528" s="8">
        <f t="shared" si="23"/>
        <v>0</v>
      </c>
      <c r="H1528" s="1"/>
    </row>
    <row r="1529" spans="1:8" ht="15.75" customHeight="1">
      <c r="A1529" s="6">
        <v>1525</v>
      </c>
      <c r="B1529" s="11" t="s">
        <v>1449</v>
      </c>
      <c r="C1529" s="11">
        <f xml:space="preserve">     38250</f>
        <v>38250</v>
      </c>
      <c r="D1529" s="11"/>
      <c r="E1529" s="17"/>
      <c r="F1529" s="12"/>
      <c r="G1529" s="8">
        <f t="shared" si="23"/>
        <v>0</v>
      </c>
      <c r="H1529" s="1"/>
    </row>
    <row r="1530" spans="1:8" ht="15.75" customHeight="1">
      <c r="A1530" s="6">
        <v>1526</v>
      </c>
      <c r="B1530" s="11" t="s">
        <v>1450</v>
      </c>
      <c r="C1530" s="11">
        <f xml:space="preserve">      9600</f>
        <v>9600</v>
      </c>
      <c r="D1530" s="11"/>
      <c r="E1530" s="17"/>
      <c r="F1530" s="12"/>
      <c r="G1530" s="8">
        <f t="shared" si="23"/>
        <v>0</v>
      </c>
      <c r="H1530" s="1"/>
    </row>
    <row r="1531" spans="1:8" ht="15.75" customHeight="1">
      <c r="A1531" s="6">
        <v>1527</v>
      </c>
      <c r="B1531" s="11" t="s">
        <v>1451</v>
      </c>
      <c r="C1531" s="11">
        <f xml:space="preserve">     89300</f>
        <v>89300</v>
      </c>
      <c r="D1531" s="11"/>
      <c r="E1531" s="17"/>
      <c r="F1531" s="12"/>
      <c r="G1531" s="8">
        <f t="shared" si="23"/>
        <v>0</v>
      </c>
      <c r="H1531" s="1"/>
    </row>
    <row r="1532" spans="1:8" ht="15.75" customHeight="1">
      <c r="A1532" s="6">
        <v>1528</v>
      </c>
      <c r="B1532" s="11" t="s">
        <v>1452</v>
      </c>
      <c r="C1532" s="11">
        <f xml:space="preserve">     49800</f>
        <v>49800</v>
      </c>
      <c r="D1532" s="11"/>
      <c r="E1532" s="17"/>
      <c r="F1532" s="12"/>
      <c r="G1532" s="8">
        <f t="shared" si="23"/>
        <v>0</v>
      </c>
      <c r="H1532" s="1"/>
    </row>
    <row r="1533" spans="1:8" ht="15.75" customHeight="1">
      <c r="A1533" s="6">
        <v>1529</v>
      </c>
      <c r="B1533" s="11" t="s">
        <v>1453</v>
      </c>
      <c r="C1533" s="11">
        <f xml:space="preserve">      5200</f>
        <v>5200</v>
      </c>
      <c r="D1533" s="11"/>
      <c r="E1533" s="17"/>
      <c r="F1533" s="12"/>
      <c r="G1533" s="8">
        <f t="shared" si="23"/>
        <v>0</v>
      </c>
      <c r="H1533" s="1"/>
    </row>
    <row r="1534" spans="1:8" ht="15.75" customHeight="1">
      <c r="A1534" s="6">
        <v>1530</v>
      </c>
      <c r="B1534" s="11" t="s">
        <v>1454</v>
      </c>
      <c r="C1534" s="11">
        <f xml:space="preserve">      3300</f>
        <v>3300</v>
      </c>
      <c r="D1534" s="11"/>
      <c r="E1534" s="17"/>
      <c r="F1534" s="12"/>
      <c r="G1534" s="8">
        <f t="shared" si="23"/>
        <v>0</v>
      </c>
      <c r="H1534" s="1"/>
    </row>
    <row r="1535" spans="1:8" ht="15.75" customHeight="1">
      <c r="A1535" s="6">
        <v>1531</v>
      </c>
      <c r="B1535" s="11" t="s">
        <v>1455</v>
      </c>
      <c r="C1535" s="11">
        <f xml:space="preserve">      2800</f>
        <v>2800</v>
      </c>
      <c r="D1535" s="11"/>
      <c r="E1535" s="17"/>
      <c r="F1535" s="12"/>
      <c r="G1535" s="8">
        <f t="shared" si="23"/>
        <v>0</v>
      </c>
      <c r="H1535" s="1"/>
    </row>
    <row r="1536" spans="1:8" ht="15.75" customHeight="1">
      <c r="A1536" s="6">
        <v>1532</v>
      </c>
      <c r="B1536" s="11" t="s">
        <v>1456</v>
      </c>
      <c r="C1536" s="11">
        <f xml:space="preserve">     18250</f>
        <v>18250</v>
      </c>
      <c r="D1536" s="11"/>
      <c r="E1536" s="17"/>
      <c r="F1536" s="12"/>
      <c r="G1536" s="8">
        <f t="shared" si="23"/>
        <v>0</v>
      </c>
      <c r="H1536" s="1"/>
    </row>
    <row r="1537" spans="1:8" ht="15.75" customHeight="1">
      <c r="A1537" s="6">
        <v>1533</v>
      </c>
      <c r="B1537" s="11" t="s">
        <v>1457</v>
      </c>
      <c r="C1537" s="11">
        <f xml:space="preserve">     46300</f>
        <v>46300</v>
      </c>
      <c r="D1537" s="11"/>
      <c r="E1537" s="17"/>
      <c r="F1537" s="12"/>
      <c r="G1537" s="8">
        <f t="shared" ref="G1537:G1600" si="24">C1537*D1537+E1537*F1537</f>
        <v>0</v>
      </c>
      <c r="H1537" s="1"/>
    </row>
    <row r="1538" spans="1:8" ht="15.75" customHeight="1">
      <c r="A1538" s="6">
        <v>1534</v>
      </c>
      <c r="B1538" s="11" t="s">
        <v>1458</v>
      </c>
      <c r="C1538" s="11">
        <f xml:space="preserve">     89750</f>
        <v>89750</v>
      </c>
      <c r="D1538" s="11"/>
      <c r="E1538" s="17"/>
      <c r="F1538" s="12"/>
      <c r="G1538" s="8">
        <f t="shared" si="24"/>
        <v>0</v>
      </c>
      <c r="H1538" s="1"/>
    </row>
    <row r="1539" spans="1:8" ht="15.75" customHeight="1">
      <c r="A1539" s="6">
        <v>1535</v>
      </c>
      <c r="B1539" s="11" t="s">
        <v>1459</v>
      </c>
      <c r="C1539" s="11">
        <f xml:space="preserve">     22450</f>
        <v>22450</v>
      </c>
      <c r="D1539" s="11"/>
      <c r="E1539" s="17"/>
      <c r="F1539" s="12"/>
      <c r="G1539" s="8">
        <f t="shared" si="24"/>
        <v>0</v>
      </c>
      <c r="H1539" s="1"/>
    </row>
    <row r="1540" spans="1:8" ht="15.75" customHeight="1">
      <c r="A1540" s="6">
        <v>1536</v>
      </c>
      <c r="B1540" s="11" t="s">
        <v>1460</v>
      </c>
      <c r="C1540" s="11">
        <f xml:space="preserve">     54400</f>
        <v>54400</v>
      </c>
      <c r="D1540" s="11"/>
      <c r="E1540" s="17"/>
      <c r="F1540" s="12"/>
      <c r="G1540" s="8">
        <f t="shared" si="24"/>
        <v>0</v>
      </c>
      <c r="H1540" s="1"/>
    </row>
    <row r="1541" spans="1:8" ht="15.75" customHeight="1">
      <c r="A1541" s="6">
        <v>1537</v>
      </c>
      <c r="B1541" s="11" t="s">
        <v>1461</v>
      </c>
      <c r="C1541" s="11">
        <f xml:space="preserve">     27650</f>
        <v>27650</v>
      </c>
      <c r="D1541" s="11"/>
      <c r="E1541" s="17"/>
      <c r="F1541" s="12"/>
      <c r="G1541" s="8">
        <f t="shared" si="24"/>
        <v>0</v>
      </c>
      <c r="H1541" s="1"/>
    </row>
    <row r="1542" spans="1:8" ht="15.75" customHeight="1">
      <c r="A1542" s="6">
        <v>1538</v>
      </c>
      <c r="B1542" s="11" t="s">
        <v>1462</v>
      </c>
      <c r="C1542" s="11">
        <f xml:space="preserve">     36750</f>
        <v>36750</v>
      </c>
      <c r="D1542" s="11"/>
      <c r="E1542" s="17"/>
      <c r="F1542" s="12"/>
      <c r="G1542" s="8">
        <f t="shared" si="24"/>
        <v>0</v>
      </c>
      <c r="H1542" s="1"/>
    </row>
    <row r="1543" spans="1:8" ht="15.75" customHeight="1">
      <c r="A1543" s="6">
        <v>1539</v>
      </c>
      <c r="B1543" s="11" t="s">
        <v>1463</v>
      </c>
      <c r="C1543" s="11">
        <f xml:space="preserve">    124550</f>
        <v>124550</v>
      </c>
      <c r="D1543" s="11"/>
      <c r="E1543" s="17"/>
      <c r="F1543" s="12"/>
      <c r="G1543" s="8">
        <f t="shared" si="24"/>
        <v>0</v>
      </c>
      <c r="H1543" s="1"/>
    </row>
    <row r="1544" spans="1:8" ht="15.75" customHeight="1">
      <c r="A1544" s="6">
        <v>1540</v>
      </c>
      <c r="B1544" s="11" t="s">
        <v>1464</v>
      </c>
      <c r="C1544" s="11">
        <f xml:space="preserve">      7775</f>
        <v>7775</v>
      </c>
      <c r="D1544" s="11"/>
      <c r="E1544" s="17"/>
      <c r="F1544" s="12"/>
      <c r="G1544" s="8">
        <f t="shared" si="24"/>
        <v>0</v>
      </c>
      <c r="H1544" s="1"/>
    </row>
    <row r="1545" spans="1:8" ht="15.75" customHeight="1">
      <c r="A1545" s="6">
        <v>1541</v>
      </c>
      <c r="B1545" s="11" t="s">
        <v>1465</v>
      </c>
      <c r="C1545" s="11">
        <f xml:space="preserve">    239100</f>
        <v>239100</v>
      </c>
      <c r="D1545" s="11"/>
      <c r="E1545" s="17"/>
      <c r="F1545" s="12"/>
      <c r="G1545" s="8">
        <f t="shared" si="24"/>
        <v>0</v>
      </c>
      <c r="H1545" s="1"/>
    </row>
    <row r="1546" spans="1:8" ht="15.75" customHeight="1">
      <c r="A1546" s="6">
        <v>1542</v>
      </c>
      <c r="B1546" s="11" t="s">
        <v>1466</v>
      </c>
      <c r="C1546" s="11">
        <f xml:space="preserve">    159300</f>
        <v>159300</v>
      </c>
      <c r="D1546" s="11"/>
      <c r="E1546" s="17"/>
      <c r="F1546" s="12"/>
      <c r="G1546" s="8">
        <f t="shared" si="24"/>
        <v>0</v>
      </c>
      <c r="H1546" s="1"/>
    </row>
    <row r="1547" spans="1:8" ht="15.75" customHeight="1">
      <c r="A1547" s="6">
        <v>1543</v>
      </c>
      <c r="B1547" s="11" t="s">
        <v>1467</v>
      </c>
      <c r="C1547" s="11">
        <f xml:space="preserve">     52700</f>
        <v>52700</v>
      </c>
      <c r="D1547" s="11"/>
      <c r="E1547" s="17"/>
      <c r="F1547" s="12"/>
      <c r="G1547" s="8">
        <f t="shared" si="24"/>
        <v>0</v>
      </c>
      <c r="H1547" s="1"/>
    </row>
    <row r="1548" spans="1:8" ht="15.75" customHeight="1">
      <c r="A1548" s="6">
        <v>1544</v>
      </c>
      <c r="B1548" s="11" t="s">
        <v>1468</v>
      </c>
      <c r="C1548" s="11">
        <f xml:space="preserve">      3100</f>
        <v>3100</v>
      </c>
      <c r="D1548" s="11"/>
      <c r="E1548" s="17"/>
      <c r="F1548" s="12"/>
      <c r="G1548" s="8">
        <f t="shared" si="24"/>
        <v>0</v>
      </c>
      <c r="H1548" s="1"/>
    </row>
    <row r="1549" spans="1:8" ht="15.75" customHeight="1">
      <c r="A1549" s="6">
        <v>1545</v>
      </c>
      <c r="B1549" s="11" t="s">
        <v>1469</v>
      </c>
      <c r="C1549" s="11">
        <f xml:space="preserve">     48100</f>
        <v>48100</v>
      </c>
      <c r="D1549" s="11"/>
      <c r="E1549" s="17"/>
      <c r="F1549" s="12"/>
      <c r="G1549" s="8">
        <f t="shared" si="24"/>
        <v>0</v>
      </c>
      <c r="H1549" s="1"/>
    </row>
    <row r="1550" spans="1:8" ht="15.75" customHeight="1">
      <c r="A1550" s="6">
        <v>1546</v>
      </c>
      <c r="B1550" s="11" t="s">
        <v>1470</v>
      </c>
      <c r="C1550" s="11">
        <f xml:space="preserve">     27250</f>
        <v>27250</v>
      </c>
      <c r="D1550" s="11"/>
      <c r="E1550" s="17"/>
      <c r="F1550" s="12"/>
      <c r="G1550" s="8">
        <f t="shared" si="24"/>
        <v>0</v>
      </c>
      <c r="H1550" s="1"/>
    </row>
    <row r="1551" spans="1:8" ht="15.75" customHeight="1">
      <c r="A1551" s="6">
        <v>1547</v>
      </c>
      <c r="B1551" s="11" t="s">
        <v>1471</v>
      </c>
      <c r="C1551" s="11">
        <f xml:space="preserve">     41550</f>
        <v>41550</v>
      </c>
      <c r="D1551" s="11"/>
      <c r="E1551" s="17"/>
      <c r="F1551" s="12"/>
      <c r="G1551" s="8">
        <f t="shared" si="24"/>
        <v>0</v>
      </c>
      <c r="H1551" s="1"/>
    </row>
    <row r="1552" spans="1:8" ht="15.75" customHeight="1">
      <c r="A1552" s="6">
        <v>1548</v>
      </c>
      <c r="B1552" s="11" t="s">
        <v>1472</v>
      </c>
      <c r="C1552" s="11">
        <f xml:space="preserve">     46500</f>
        <v>46500</v>
      </c>
      <c r="D1552" s="11"/>
      <c r="E1552" s="17"/>
      <c r="F1552" s="12"/>
      <c r="G1552" s="8">
        <f t="shared" si="24"/>
        <v>0</v>
      </c>
      <c r="H1552" s="1"/>
    </row>
    <row r="1553" spans="1:8" ht="15.75" customHeight="1">
      <c r="A1553" s="6">
        <v>1549</v>
      </c>
      <c r="B1553" s="11" t="s">
        <v>1473</v>
      </c>
      <c r="C1553" s="11">
        <f xml:space="preserve">    107850</f>
        <v>107850</v>
      </c>
      <c r="D1553" s="11"/>
      <c r="E1553" s="17"/>
      <c r="F1553" s="12"/>
      <c r="G1553" s="8">
        <f t="shared" si="24"/>
        <v>0</v>
      </c>
      <c r="H1553" s="1"/>
    </row>
    <row r="1554" spans="1:8" ht="15.75" customHeight="1">
      <c r="A1554" s="6">
        <v>1550</v>
      </c>
      <c r="B1554" s="11" t="s">
        <v>1474</v>
      </c>
      <c r="C1554" s="11">
        <f xml:space="preserve">    159450</f>
        <v>159450</v>
      </c>
      <c r="D1554" s="11"/>
      <c r="E1554" s="17"/>
      <c r="F1554" s="12"/>
      <c r="G1554" s="8">
        <f t="shared" si="24"/>
        <v>0</v>
      </c>
      <c r="H1554" s="1"/>
    </row>
    <row r="1555" spans="1:8" ht="15.75" customHeight="1">
      <c r="A1555" s="6">
        <v>1551</v>
      </c>
      <c r="B1555" s="11" t="s">
        <v>1475</v>
      </c>
      <c r="C1555" s="11">
        <f xml:space="preserve">     62600</f>
        <v>62600</v>
      </c>
      <c r="D1555" s="11"/>
      <c r="E1555" s="17"/>
      <c r="F1555" s="12"/>
      <c r="G1555" s="8">
        <f t="shared" si="24"/>
        <v>0</v>
      </c>
      <c r="H1555" s="1"/>
    </row>
    <row r="1556" spans="1:8" ht="15.75" customHeight="1">
      <c r="A1556" s="6">
        <v>1552</v>
      </c>
      <c r="B1556" s="11" t="s">
        <v>1476</v>
      </c>
      <c r="C1556" s="11">
        <f xml:space="preserve">     52650</f>
        <v>52650</v>
      </c>
      <c r="D1556" s="11"/>
      <c r="E1556" s="17"/>
      <c r="F1556" s="12"/>
      <c r="G1556" s="8">
        <f t="shared" si="24"/>
        <v>0</v>
      </c>
      <c r="H1556" s="1"/>
    </row>
    <row r="1557" spans="1:8" ht="15.75" customHeight="1">
      <c r="A1557" s="6">
        <v>1553</v>
      </c>
      <c r="B1557" s="11" t="s">
        <v>1477</v>
      </c>
      <c r="C1557" s="11">
        <f xml:space="preserve">     32950</f>
        <v>32950</v>
      </c>
      <c r="D1557" s="11"/>
      <c r="E1557" s="17"/>
      <c r="F1557" s="12"/>
      <c r="G1557" s="8">
        <f t="shared" si="24"/>
        <v>0</v>
      </c>
      <c r="H1557" s="1"/>
    </row>
    <row r="1558" spans="1:8" ht="15.75" customHeight="1">
      <c r="A1558" s="6">
        <v>1554</v>
      </c>
      <c r="B1558" s="11" t="s">
        <v>1478</v>
      </c>
      <c r="C1558" s="11">
        <f xml:space="preserve">     20100</f>
        <v>20100</v>
      </c>
      <c r="D1558" s="11"/>
      <c r="E1558" s="17"/>
      <c r="F1558" s="12"/>
      <c r="G1558" s="8">
        <f t="shared" si="24"/>
        <v>0</v>
      </c>
      <c r="H1558" s="1"/>
    </row>
    <row r="1559" spans="1:8" ht="15.75" customHeight="1">
      <c r="A1559" s="6">
        <v>1555</v>
      </c>
      <c r="B1559" s="11" t="s">
        <v>1479</v>
      </c>
      <c r="C1559" s="11">
        <f xml:space="preserve">     45550</f>
        <v>45550</v>
      </c>
      <c r="D1559" s="11"/>
      <c r="E1559" s="17"/>
      <c r="F1559" s="12"/>
      <c r="G1559" s="8">
        <f t="shared" si="24"/>
        <v>0</v>
      </c>
      <c r="H1559" s="1"/>
    </row>
    <row r="1560" spans="1:8" ht="15.75" customHeight="1">
      <c r="A1560" s="6">
        <v>1556</v>
      </c>
      <c r="B1560" s="11" t="s">
        <v>1480</v>
      </c>
      <c r="C1560" s="11">
        <f xml:space="preserve">     24150</f>
        <v>24150</v>
      </c>
      <c r="D1560" s="11"/>
      <c r="E1560" s="17"/>
      <c r="F1560" s="12"/>
      <c r="G1560" s="8">
        <f t="shared" si="24"/>
        <v>0</v>
      </c>
      <c r="H1560" s="1"/>
    </row>
    <row r="1561" spans="1:8" ht="15.75" customHeight="1">
      <c r="A1561" s="6">
        <v>1557</v>
      </c>
      <c r="B1561" s="11" t="s">
        <v>2477</v>
      </c>
      <c r="C1561" s="11">
        <f xml:space="preserve">     13650</f>
        <v>13650</v>
      </c>
      <c r="D1561" s="11"/>
      <c r="E1561" s="17"/>
      <c r="F1561" s="12"/>
      <c r="G1561" s="8">
        <f t="shared" si="24"/>
        <v>0</v>
      </c>
      <c r="H1561" s="1"/>
    </row>
    <row r="1562" spans="1:8" ht="15.75" customHeight="1">
      <c r="A1562" s="6">
        <v>1558</v>
      </c>
      <c r="B1562" s="11" t="s">
        <v>1481</v>
      </c>
      <c r="C1562" s="11">
        <f xml:space="preserve">     14600</f>
        <v>14600</v>
      </c>
      <c r="D1562" s="11"/>
      <c r="E1562" s="17"/>
      <c r="F1562" s="12"/>
      <c r="G1562" s="8">
        <f t="shared" si="24"/>
        <v>0</v>
      </c>
      <c r="H1562" s="1"/>
    </row>
    <row r="1563" spans="1:8" ht="15.75" customHeight="1">
      <c r="A1563" s="6">
        <v>1559</v>
      </c>
      <c r="B1563" s="11" t="s">
        <v>1482</v>
      </c>
      <c r="C1563" s="11">
        <f xml:space="preserve">      5800</f>
        <v>5800</v>
      </c>
      <c r="D1563" s="11"/>
      <c r="E1563" s="17"/>
      <c r="F1563" s="12"/>
      <c r="G1563" s="8">
        <f t="shared" si="24"/>
        <v>0</v>
      </c>
      <c r="H1563" s="1"/>
    </row>
    <row r="1564" spans="1:8" ht="15.75" customHeight="1">
      <c r="A1564" s="6">
        <v>1560</v>
      </c>
      <c r="B1564" s="11" t="s">
        <v>1483</v>
      </c>
      <c r="C1564" s="11">
        <f xml:space="preserve">     10350</f>
        <v>10350</v>
      </c>
      <c r="D1564" s="11"/>
      <c r="E1564" s="17"/>
      <c r="F1564" s="12"/>
      <c r="G1564" s="8">
        <f t="shared" si="24"/>
        <v>0</v>
      </c>
      <c r="H1564" s="1"/>
    </row>
    <row r="1565" spans="1:8" ht="15.75" customHeight="1">
      <c r="A1565" s="6">
        <v>1561</v>
      </c>
      <c r="B1565" s="11" t="s">
        <v>1484</v>
      </c>
      <c r="C1565" s="11">
        <f xml:space="preserve">     41550</f>
        <v>41550</v>
      </c>
      <c r="D1565" s="11"/>
      <c r="E1565" s="17"/>
      <c r="F1565" s="12"/>
      <c r="G1565" s="8">
        <f t="shared" si="24"/>
        <v>0</v>
      </c>
      <c r="H1565" s="1"/>
    </row>
    <row r="1566" spans="1:8" ht="15.75" customHeight="1">
      <c r="A1566" s="6">
        <v>1562</v>
      </c>
      <c r="B1566" s="11" t="s">
        <v>1485</v>
      </c>
      <c r="C1566" s="11">
        <f xml:space="preserve">     40950</f>
        <v>40950</v>
      </c>
      <c r="D1566" s="11"/>
      <c r="E1566" s="17"/>
      <c r="F1566" s="12"/>
      <c r="G1566" s="8">
        <f t="shared" si="24"/>
        <v>0</v>
      </c>
      <c r="H1566" s="1"/>
    </row>
    <row r="1567" spans="1:8" ht="15.75" customHeight="1">
      <c r="A1567" s="6">
        <v>1563</v>
      </c>
      <c r="B1567" s="11" t="s">
        <v>1486</v>
      </c>
      <c r="C1567" s="11">
        <f xml:space="preserve">     33200</f>
        <v>33200</v>
      </c>
      <c r="D1567" s="11"/>
      <c r="E1567" s="17"/>
      <c r="F1567" s="12"/>
      <c r="G1567" s="8">
        <f t="shared" si="24"/>
        <v>0</v>
      </c>
      <c r="H1567" s="1"/>
    </row>
    <row r="1568" spans="1:8" ht="15.75" customHeight="1">
      <c r="A1568" s="6">
        <v>1564</v>
      </c>
      <c r="B1568" s="11" t="s">
        <v>1487</v>
      </c>
      <c r="C1568" s="11">
        <f xml:space="preserve">     18800</f>
        <v>18800</v>
      </c>
      <c r="D1568" s="11"/>
      <c r="E1568" s="17"/>
      <c r="F1568" s="12"/>
      <c r="G1568" s="8">
        <f t="shared" si="24"/>
        <v>0</v>
      </c>
      <c r="H1568" s="1"/>
    </row>
    <row r="1569" spans="1:8" ht="15.75" customHeight="1">
      <c r="A1569" s="6">
        <v>1565</v>
      </c>
      <c r="B1569" s="11" t="s">
        <v>1488</v>
      </c>
      <c r="C1569" s="11">
        <f xml:space="preserve">     13300</f>
        <v>13300</v>
      </c>
      <c r="D1569" s="11"/>
      <c r="E1569" s="17"/>
      <c r="F1569" s="12"/>
      <c r="G1569" s="8">
        <f t="shared" si="24"/>
        <v>0</v>
      </c>
      <c r="H1569" s="1"/>
    </row>
    <row r="1570" spans="1:8" ht="15.75" customHeight="1">
      <c r="A1570" s="6">
        <v>1566</v>
      </c>
      <c r="B1570" s="11" t="s">
        <v>1489</v>
      </c>
      <c r="C1570" s="11">
        <f xml:space="preserve">     19150</f>
        <v>19150</v>
      </c>
      <c r="D1570" s="11"/>
      <c r="E1570" s="17"/>
      <c r="F1570" s="12"/>
      <c r="G1570" s="8">
        <f t="shared" si="24"/>
        <v>0</v>
      </c>
      <c r="H1570" s="1"/>
    </row>
    <row r="1571" spans="1:8" ht="15.75" customHeight="1">
      <c r="A1571" s="6">
        <v>1567</v>
      </c>
      <c r="B1571" s="11" t="s">
        <v>1490</v>
      </c>
      <c r="C1571" s="11">
        <f xml:space="preserve">      4800</f>
        <v>4800</v>
      </c>
      <c r="D1571" s="11"/>
      <c r="E1571" s="17"/>
      <c r="F1571" s="12"/>
      <c r="G1571" s="8">
        <f t="shared" si="24"/>
        <v>0</v>
      </c>
      <c r="H1571" s="1"/>
    </row>
    <row r="1572" spans="1:8" ht="15.75" customHeight="1">
      <c r="A1572" s="6">
        <v>1568</v>
      </c>
      <c r="B1572" s="11" t="s">
        <v>1491</v>
      </c>
      <c r="C1572" s="11">
        <f xml:space="preserve">      6000</f>
        <v>6000</v>
      </c>
      <c r="D1572" s="11"/>
      <c r="E1572" s="17"/>
      <c r="F1572" s="12"/>
      <c r="G1572" s="8">
        <f t="shared" si="24"/>
        <v>0</v>
      </c>
      <c r="H1572" s="1"/>
    </row>
    <row r="1573" spans="1:8" ht="15.75" customHeight="1">
      <c r="A1573" s="6">
        <v>1569</v>
      </c>
      <c r="B1573" s="11" t="s">
        <v>1492</v>
      </c>
      <c r="C1573" s="11">
        <f xml:space="preserve">      7200</f>
        <v>7200</v>
      </c>
      <c r="D1573" s="11"/>
      <c r="E1573" s="17"/>
      <c r="F1573" s="12"/>
      <c r="G1573" s="8">
        <f t="shared" si="24"/>
        <v>0</v>
      </c>
      <c r="H1573" s="1"/>
    </row>
    <row r="1574" spans="1:8" ht="15.75" customHeight="1">
      <c r="A1574" s="6">
        <v>1570</v>
      </c>
      <c r="B1574" s="11" t="s">
        <v>1492</v>
      </c>
      <c r="C1574" s="11">
        <f xml:space="preserve">      7200</f>
        <v>7200</v>
      </c>
      <c r="D1574" s="11"/>
      <c r="E1574" s="17"/>
      <c r="F1574" s="12"/>
      <c r="G1574" s="8">
        <f t="shared" si="24"/>
        <v>0</v>
      </c>
      <c r="H1574" s="1"/>
    </row>
    <row r="1575" spans="1:8" ht="15.75" customHeight="1">
      <c r="A1575" s="6">
        <v>1571</v>
      </c>
      <c r="B1575" s="11" t="s">
        <v>1493</v>
      </c>
      <c r="C1575" s="11">
        <f xml:space="preserve">     10500</f>
        <v>10500</v>
      </c>
      <c r="D1575" s="11"/>
      <c r="E1575" s="17"/>
      <c r="F1575" s="12"/>
      <c r="G1575" s="8">
        <f t="shared" si="24"/>
        <v>0</v>
      </c>
      <c r="H1575" s="1"/>
    </row>
    <row r="1576" spans="1:8" ht="15.75" customHeight="1">
      <c r="A1576" s="6">
        <v>1572</v>
      </c>
      <c r="B1576" s="11" t="s">
        <v>1494</v>
      </c>
      <c r="C1576" s="11">
        <f xml:space="preserve">      5350</f>
        <v>5350</v>
      </c>
      <c r="D1576" s="11"/>
      <c r="E1576" s="17"/>
      <c r="F1576" s="12"/>
      <c r="G1576" s="8">
        <f t="shared" si="24"/>
        <v>0</v>
      </c>
      <c r="H1576" s="1"/>
    </row>
    <row r="1577" spans="1:8" ht="15.75" customHeight="1">
      <c r="A1577" s="6">
        <v>1573</v>
      </c>
      <c r="B1577" s="11" t="s">
        <v>1495</v>
      </c>
      <c r="C1577" s="11">
        <f xml:space="preserve">     74200</f>
        <v>74200</v>
      </c>
      <c r="D1577" s="11"/>
      <c r="E1577" s="17"/>
      <c r="F1577" s="12"/>
      <c r="G1577" s="8">
        <f t="shared" si="24"/>
        <v>0</v>
      </c>
      <c r="H1577" s="1"/>
    </row>
    <row r="1578" spans="1:8" ht="15.75" customHeight="1">
      <c r="A1578" s="6">
        <v>1574</v>
      </c>
      <c r="B1578" s="11" t="s">
        <v>1496</v>
      </c>
      <c r="C1578" s="11">
        <f xml:space="preserve">     96500</f>
        <v>96500</v>
      </c>
      <c r="D1578" s="11"/>
      <c r="E1578" s="17"/>
      <c r="F1578" s="12"/>
      <c r="G1578" s="8">
        <f t="shared" si="24"/>
        <v>0</v>
      </c>
      <c r="H1578" s="1"/>
    </row>
    <row r="1579" spans="1:8" ht="15.75" customHeight="1">
      <c r="A1579" s="6">
        <v>1575</v>
      </c>
      <c r="B1579" s="11" t="s">
        <v>1497</v>
      </c>
      <c r="C1579" s="11">
        <f xml:space="preserve">    100200</f>
        <v>100200</v>
      </c>
      <c r="D1579" s="11"/>
      <c r="E1579" s="17"/>
      <c r="F1579" s="12"/>
      <c r="G1579" s="8">
        <f t="shared" si="24"/>
        <v>0</v>
      </c>
      <c r="H1579" s="1"/>
    </row>
    <row r="1580" spans="1:8" ht="15.75" customHeight="1">
      <c r="A1580" s="6">
        <v>1576</v>
      </c>
      <c r="B1580" s="11" t="s">
        <v>1498</v>
      </c>
      <c r="C1580" s="11">
        <f xml:space="preserve">      2050</f>
        <v>2050</v>
      </c>
      <c r="D1580" s="11"/>
      <c r="E1580" s="17"/>
      <c r="F1580" s="12"/>
      <c r="G1580" s="8">
        <f t="shared" si="24"/>
        <v>0</v>
      </c>
      <c r="H1580" s="1"/>
    </row>
    <row r="1581" spans="1:8" ht="15.75" customHeight="1">
      <c r="A1581" s="6">
        <v>1577</v>
      </c>
      <c r="B1581" s="11" t="s">
        <v>1498</v>
      </c>
      <c r="C1581" s="11">
        <f xml:space="preserve">      2050</f>
        <v>2050</v>
      </c>
      <c r="D1581" s="11"/>
      <c r="E1581" s="17"/>
      <c r="F1581" s="12"/>
      <c r="G1581" s="8">
        <f t="shared" si="24"/>
        <v>0</v>
      </c>
      <c r="H1581" s="1"/>
    </row>
    <row r="1582" spans="1:8" ht="15.75" customHeight="1">
      <c r="A1582" s="6">
        <v>1578</v>
      </c>
      <c r="B1582" s="11" t="s">
        <v>1499</v>
      </c>
      <c r="C1582" s="11">
        <f xml:space="preserve">      2050</f>
        <v>2050</v>
      </c>
      <c r="D1582" s="11"/>
      <c r="E1582" s="17"/>
      <c r="F1582" s="12"/>
      <c r="G1582" s="8">
        <f t="shared" si="24"/>
        <v>0</v>
      </c>
      <c r="H1582" s="1"/>
    </row>
    <row r="1583" spans="1:8" ht="15.75" customHeight="1">
      <c r="A1583" s="6">
        <v>1579</v>
      </c>
      <c r="B1583" s="11" t="s">
        <v>1500</v>
      </c>
      <c r="C1583" s="11">
        <f xml:space="preserve">      1550</f>
        <v>1550</v>
      </c>
      <c r="D1583" s="11"/>
      <c r="E1583" s="17"/>
      <c r="F1583" s="12"/>
      <c r="G1583" s="8">
        <f t="shared" si="24"/>
        <v>0</v>
      </c>
      <c r="H1583" s="1"/>
    </row>
    <row r="1584" spans="1:8" ht="15.75" customHeight="1">
      <c r="A1584" s="6">
        <v>1580</v>
      </c>
      <c r="B1584" s="11" t="s">
        <v>1501</v>
      </c>
      <c r="C1584" s="11">
        <f xml:space="preserve">     47750</f>
        <v>47750</v>
      </c>
      <c r="D1584" s="11"/>
      <c r="E1584" s="17"/>
      <c r="F1584" s="12"/>
      <c r="G1584" s="8">
        <f t="shared" si="24"/>
        <v>0</v>
      </c>
      <c r="H1584" s="1"/>
    </row>
    <row r="1585" spans="1:8" ht="15.75" customHeight="1">
      <c r="A1585" s="6">
        <v>1581</v>
      </c>
      <c r="B1585" s="11" t="s">
        <v>1502</v>
      </c>
      <c r="C1585" s="11">
        <f xml:space="preserve">     23800</f>
        <v>23800</v>
      </c>
      <c r="D1585" s="11"/>
      <c r="E1585" s="17"/>
      <c r="F1585" s="12"/>
      <c r="G1585" s="8">
        <f t="shared" si="24"/>
        <v>0</v>
      </c>
      <c r="H1585" s="1"/>
    </row>
    <row r="1586" spans="1:8" ht="15.75" customHeight="1">
      <c r="A1586" s="6">
        <v>1582</v>
      </c>
      <c r="B1586" s="11" t="s">
        <v>1503</v>
      </c>
      <c r="C1586" s="11">
        <f xml:space="preserve">     37850</f>
        <v>37850</v>
      </c>
      <c r="D1586" s="11"/>
      <c r="E1586" s="17"/>
      <c r="F1586" s="12"/>
      <c r="G1586" s="8">
        <f t="shared" si="24"/>
        <v>0</v>
      </c>
      <c r="H1586" s="1"/>
    </row>
    <row r="1587" spans="1:8" ht="15.75" customHeight="1">
      <c r="A1587" s="6">
        <v>1583</v>
      </c>
      <c r="B1587" s="11" t="s">
        <v>1504</v>
      </c>
      <c r="C1587" s="11">
        <f xml:space="preserve">     50500</f>
        <v>50500</v>
      </c>
      <c r="D1587" s="11"/>
      <c r="E1587" s="17"/>
      <c r="F1587" s="12"/>
      <c r="G1587" s="8">
        <f t="shared" si="24"/>
        <v>0</v>
      </c>
      <c r="H1587" s="1"/>
    </row>
    <row r="1588" spans="1:8" ht="15.75" customHeight="1">
      <c r="A1588" s="6">
        <v>1584</v>
      </c>
      <c r="B1588" s="11" t="s">
        <v>1505</v>
      </c>
      <c r="C1588" s="11">
        <f xml:space="preserve">    102650</f>
        <v>102650</v>
      </c>
      <c r="D1588" s="11"/>
      <c r="E1588" s="17"/>
      <c r="F1588" s="12"/>
      <c r="G1588" s="8">
        <f t="shared" si="24"/>
        <v>0</v>
      </c>
      <c r="H1588" s="1"/>
    </row>
    <row r="1589" spans="1:8" ht="15.75" customHeight="1">
      <c r="A1589" s="6">
        <v>1585</v>
      </c>
      <c r="B1589" s="11" t="s">
        <v>1506</v>
      </c>
      <c r="C1589" s="11">
        <f xml:space="preserve">     58900</f>
        <v>58900</v>
      </c>
      <c r="D1589" s="11"/>
      <c r="E1589" s="17"/>
      <c r="F1589" s="12"/>
      <c r="G1589" s="8">
        <f t="shared" si="24"/>
        <v>0</v>
      </c>
      <c r="H1589" s="1"/>
    </row>
    <row r="1590" spans="1:8" ht="15.75" customHeight="1">
      <c r="A1590" s="6">
        <v>1586</v>
      </c>
      <c r="B1590" s="11" t="s">
        <v>1507</v>
      </c>
      <c r="C1590" s="11">
        <f xml:space="preserve">     58000</f>
        <v>58000</v>
      </c>
      <c r="D1590" s="11"/>
      <c r="E1590" s="17"/>
      <c r="F1590" s="12"/>
      <c r="G1590" s="8">
        <f t="shared" si="24"/>
        <v>0</v>
      </c>
      <c r="H1590" s="1"/>
    </row>
    <row r="1591" spans="1:8" ht="15.75" customHeight="1">
      <c r="A1591" s="6">
        <v>1587</v>
      </c>
      <c r="B1591" s="11" t="s">
        <v>1508</v>
      </c>
      <c r="C1591" s="11">
        <f xml:space="preserve">     62500</f>
        <v>62500</v>
      </c>
      <c r="D1591" s="11"/>
      <c r="E1591" s="17"/>
      <c r="F1591" s="12"/>
      <c r="G1591" s="8">
        <f t="shared" si="24"/>
        <v>0</v>
      </c>
      <c r="H1591" s="1"/>
    </row>
    <row r="1592" spans="1:8" ht="15.75" customHeight="1">
      <c r="A1592" s="6">
        <v>1588</v>
      </c>
      <c r="B1592" s="11" t="s">
        <v>1509</v>
      </c>
      <c r="C1592" s="11">
        <f xml:space="preserve">     49600</f>
        <v>49600</v>
      </c>
      <c r="D1592" s="11"/>
      <c r="E1592" s="17"/>
      <c r="F1592" s="12"/>
      <c r="G1592" s="8">
        <f t="shared" si="24"/>
        <v>0</v>
      </c>
      <c r="H1592" s="1"/>
    </row>
    <row r="1593" spans="1:8" ht="15.75" customHeight="1">
      <c r="A1593" s="6">
        <v>1589</v>
      </c>
      <c r="B1593" s="11" t="s">
        <v>1510</v>
      </c>
      <c r="C1593" s="11">
        <f xml:space="preserve">     59800</f>
        <v>59800</v>
      </c>
      <c r="D1593" s="11"/>
      <c r="E1593" s="17"/>
      <c r="F1593" s="12"/>
      <c r="G1593" s="8">
        <f t="shared" si="24"/>
        <v>0</v>
      </c>
      <c r="H1593" s="1"/>
    </row>
    <row r="1594" spans="1:8" ht="15.75" customHeight="1">
      <c r="A1594" s="6">
        <v>1590</v>
      </c>
      <c r="B1594" s="11" t="s">
        <v>1511</v>
      </c>
      <c r="C1594" s="11">
        <f xml:space="preserve">     83900</f>
        <v>83900</v>
      </c>
      <c r="D1594" s="11"/>
      <c r="E1594" s="17"/>
      <c r="F1594" s="12"/>
      <c r="G1594" s="8">
        <f t="shared" si="24"/>
        <v>0</v>
      </c>
      <c r="H1594" s="1"/>
    </row>
    <row r="1595" spans="1:8" ht="15.75" customHeight="1">
      <c r="A1595" s="6">
        <v>1591</v>
      </c>
      <c r="B1595" s="11" t="s">
        <v>1512</v>
      </c>
      <c r="C1595" s="11">
        <f xml:space="preserve">     16900</f>
        <v>16900</v>
      </c>
      <c r="D1595" s="11"/>
      <c r="E1595" s="17"/>
      <c r="F1595" s="12"/>
      <c r="G1595" s="8">
        <f t="shared" si="24"/>
        <v>0</v>
      </c>
      <c r="H1595" s="1"/>
    </row>
    <row r="1596" spans="1:8" ht="15.75" customHeight="1">
      <c r="A1596" s="6">
        <v>1592</v>
      </c>
      <c r="B1596" s="11" t="s">
        <v>1513</v>
      </c>
      <c r="C1596" s="11">
        <f xml:space="preserve">     30800</f>
        <v>30800</v>
      </c>
      <c r="D1596" s="11"/>
      <c r="E1596" s="17"/>
      <c r="F1596" s="12"/>
      <c r="G1596" s="8">
        <f t="shared" si="24"/>
        <v>0</v>
      </c>
      <c r="H1596" s="1"/>
    </row>
    <row r="1597" spans="1:8" ht="15.75" customHeight="1">
      <c r="A1597" s="6">
        <v>1593</v>
      </c>
      <c r="B1597" s="11" t="s">
        <v>1514</v>
      </c>
      <c r="C1597" s="11">
        <f xml:space="preserve">      7250</f>
        <v>7250</v>
      </c>
      <c r="D1597" s="11"/>
      <c r="E1597" s="17"/>
      <c r="F1597" s="12"/>
      <c r="G1597" s="8">
        <f t="shared" si="24"/>
        <v>0</v>
      </c>
      <c r="H1597" s="1"/>
    </row>
    <row r="1598" spans="1:8" ht="15.75" customHeight="1">
      <c r="A1598" s="6">
        <v>1594</v>
      </c>
      <c r="B1598" s="11" t="s">
        <v>1515</v>
      </c>
      <c r="C1598" s="11">
        <f xml:space="preserve">     31250</f>
        <v>31250</v>
      </c>
      <c r="D1598" s="11"/>
      <c r="E1598" s="17"/>
      <c r="F1598" s="12"/>
      <c r="G1598" s="8">
        <f t="shared" si="24"/>
        <v>0</v>
      </c>
      <c r="H1598" s="1"/>
    </row>
    <row r="1599" spans="1:8" ht="15.75" customHeight="1">
      <c r="A1599" s="6">
        <v>1595</v>
      </c>
      <c r="B1599" s="11" t="s">
        <v>1516</v>
      </c>
      <c r="C1599" s="11">
        <f xml:space="preserve">     52250</f>
        <v>52250</v>
      </c>
      <c r="D1599" s="11"/>
      <c r="E1599" s="17"/>
      <c r="F1599" s="12"/>
      <c r="G1599" s="8">
        <f t="shared" si="24"/>
        <v>0</v>
      </c>
      <c r="H1599" s="1"/>
    </row>
    <row r="1600" spans="1:8" ht="15.75" customHeight="1">
      <c r="A1600" s="6">
        <v>1596</v>
      </c>
      <c r="B1600" s="11" t="s">
        <v>1517</v>
      </c>
      <c r="C1600" s="11">
        <f xml:space="preserve">      9300</f>
        <v>9300</v>
      </c>
      <c r="D1600" s="11"/>
      <c r="E1600" s="17"/>
      <c r="F1600" s="12"/>
      <c r="G1600" s="8">
        <f t="shared" si="24"/>
        <v>0</v>
      </c>
      <c r="H1600" s="1"/>
    </row>
    <row r="1601" spans="1:8" ht="15.75" customHeight="1">
      <c r="A1601" s="6">
        <v>1597</v>
      </c>
      <c r="B1601" s="11" t="s">
        <v>1518</v>
      </c>
      <c r="C1601" s="11">
        <f xml:space="preserve">     41950</f>
        <v>41950</v>
      </c>
      <c r="D1601" s="11"/>
      <c r="E1601" s="17"/>
      <c r="F1601" s="12"/>
      <c r="G1601" s="8">
        <f t="shared" ref="G1601:G1664" si="25">C1601*D1601+E1601*F1601</f>
        <v>0</v>
      </c>
      <c r="H1601" s="1"/>
    </row>
    <row r="1602" spans="1:8" ht="15.75" customHeight="1">
      <c r="A1602" s="6">
        <v>1598</v>
      </c>
      <c r="B1602" s="11" t="s">
        <v>1519</v>
      </c>
      <c r="C1602" s="11">
        <f xml:space="preserve">      8175</f>
        <v>8175</v>
      </c>
      <c r="D1602" s="11"/>
      <c r="E1602" s="17"/>
      <c r="F1602" s="12"/>
      <c r="G1602" s="8">
        <f t="shared" si="25"/>
        <v>0</v>
      </c>
      <c r="H1602" s="1"/>
    </row>
    <row r="1603" spans="1:8" ht="15.75" customHeight="1">
      <c r="A1603" s="6">
        <v>1599</v>
      </c>
      <c r="B1603" s="11" t="s">
        <v>1520</v>
      </c>
      <c r="C1603" s="11">
        <f xml:space="preserve">      7400</f>
        <v>7400</v>
      </c>
      <c r="D1603" s="11"/>
      <c r="E1603" s="17"/>
      <c r="F1603" s="12"/>
      <c r="G1603" s="8">
        <f t="shared" si="25"/>
        <v>0</v>
      </c>
      <c r="H1603" s="1"/>
    </row>
    <row r="1604" spans="1:8" ht="15.75" customHeight="1">
      <c r="A1604" s="6">
        <v>1600</v>
      </c>
      <c r="B1604" s="11" t="s">
        <v>1521</v>
      </c>
      <c r="C1604" s="11">
        <f xml:space="preserve">      8700</f>
        <v>8700</v>
      </c>
      <c r="D1604" s="11"/>
      <c r="E1604" s="17"/>
      <c r="F1604" s="12"/>
      <c r="G1604" s="8">
        <f t="shared" si="25"/>
        <v>0</v>
      </c>
      <c r="H1604" s="1"/>
    </row>
    <row r="1605" spans="1:8" ht="15.75" customHeight="1">
      <c r="A1605" s="6">
        <v>1601</v>
      </c>
      <c r="B1605" s="11" t="s">
        <v>1522</v>
      </c>
      <c r="C1605" s="11">
        <f xml:space="preserve">      4100</f>
        <v>4100</v>
      </c>
      <c r="D1605" s="11"/>
      <c r="E1605" s="17"/>
      <c r="F1605" s="12"/>
      <c r="G1605" s="8">
        <f t="shared" si="25"/>
        <v>0</v>
      </c>
      <c r="H1605" s="1"/>
    </row>
    <row r="1606" spans="1:8" ht="15.75" customHeight="1">
      <c r="A1606" s="6">
        <v>1602</v>
      </c>
      <c r="B1606" s="11" t="s">
        <v>1523</v>
      </c>
      <c r="C1606" s="11">
        <f xml:space="preserve">    141500</f>
        <v>141500</v>
      </c>
      <c r="D1606" s="11"/>
      <c r="E1606" s="17"/>
      <c r="F1606" s="12"/>
      <c r="G1606" s="8">
        <f t="shared" si="25"/>
        <v>0</v>
      </c>
      <c r="H1606" s="1"/>
    </row>
    <row r="1607" spans="1:8" ht="15.75" customHeight="1">
      <c r="A1607" s="6">
        <v>1603</v>
      </c>
      <c r="B1607" s="11" t="s">
        <v>1524</v>
      </c>
      <c r="C1607" s="11">
        <f xml:space="preserve">     57800</f>
        <v>57800</v>
      </c>
      <c r="D1607" s="11"/>
      <c r="E1607" s="17"/>
      <c r="F1607" s="12"/>
      <c r="G1607" s="8">
        <f t="shared" si="25"/>
        <v>0</v>
      </c>
      <c r="H1607" s="1"/>
    </row>
    <row r="1608" spans="1:8" ht="15.75" customHeight="1">
      <c r="A1608" s="6">
        <v>1604</v>
      </c>
      <c r="B1608" s="11" t="s">
        <v>1525</v>
      </c>
      <c r="C1608" s="11">
        <f xml:space="preserve">     34500</f>
        <v>34500</v>
      </c>
      <c r="D1608" s="11"/>
      <c r="E1608" s="17"/>
      <c r="F1608" s="12"/>
      <c r="G1608" s="8">
        <f t="shared" si="25"/>
        <v>0</v>
      </c>
      <c r="H1608" s="1"/>
    </row>
    <row r="1609" spans="1:8" ht="15.75" customHeight="1">
      <c r="A1609" s="6">
        <v>1605</v>
      </c>
      <c r="B1609" s="11" t="s">
        <v>1526</v>
      </c>
      <c r="C1609" s="11">
        <f xml:space="preserve">     30600</f>
        <v>30600</v>
      </c>
      <c r="D1609" s="11"/>
      <c r="E1609" s="17"/>
      <c r="F1609" s="12"/>
      <c r="G1609" s="8">
        <f t="shared" si="25"/>
        <v>0</v>
      </c>
      <c r="H1609" s="1"/>
    </row>
    <row r="1610" spans="1:8" ht="15.75" customHeight="1">
      <c r="A1610" s="6">
        <v>1606</v>
      </c>
      <c r="B1610" s="11" t="s">
        <v>1527</v>
      </c>
      <c r="C1610" s="11">
        <f xml:space="preserve">     34200</f>
        <v>34200</v>
      </c>
      <c r="D1610" s="11"/>
      <c r="E1610" s="17"/>
      <c r="F1610" s="12"/>
      <c r="G1610" s="8">
        <f t="shared" si="25"/>
        <v>0</v>
      </c>
      <c r="H1610" s="1"/>
    </row>
    <row r="1611" spans="1:8" ht="15.75" customHeight="1">
      <c r="A1611" s="6">
        <v>1607</v>
      </c>
      <c r="B1611" s="11" t="s">
        <v>1528</v>
      </c>
      <c r="C1611" s="11">
        <f xml:space="preserve">     96500</f>
        <v>96500</v>
      </c>
      <c r="D1611" s="11"/>
      <c r="E1611" s="17"/>
      <c r="F1611" s="12"/>
      <c r="G1611" s="8">
        <f t="shared" si="25"/>
        <v>0</v>
      </c>
      <c r="H1611" s="1"/>
    </row>
    <row r="1612" spans="1:8" ht="15.75" customHeight="1">
      <c r="A1612" s="6">
        <v>1608</v>
      </c>
      <c r="B1612" s="11" t="s">
        <v>1529</v>
      </c>
      <c r="C1612" s="11">
        <f xml:space="preserve">     14050</f>
        <v>14050</v>
      </c>
      <c r="D1612" s="11"/>
      <c r="E1612" s="17"/>
      <c r="F1612" s="12"/>
      <c r="G1612" s="8">
        <f t="shared" si="25"/>
        <v>0</v>
      </c>
      <c r="H1612" s="1"/>
    </row>
    <row r="1613" spans="1:8" ht="15.75" customHeight="1">
      <c r="A1613" s="6">
        <v>1609</v>
      </c>
      <c r="B1613" s="11" t="s">
        <v>1530</v>
      </c>
      <c r="C1613" s="11">
        <f xml:space="preserve">     17760</f>
        <v>17760</v>
      </c>
      <c r="D1613" s="11"/>
      <c r="E1613" s="17"/>
      <c r="F1613" s="12"/>
      <c r="G1613" s="8">
        <f t="shared" si="25"/>
        <v>0</v>
      </c>
      <c r="H1613" s="1"/>
    </row>
    <row r="1614" spans="1:8" ht="15.75" customHeight="1">
      <c r="A1614" s="6">
        <v>1610</v>
      </c>
      <c r="B1614" s="11" t="s">
        <v>1530</v>
      </c>
      <c r="C1614" s="11">
        <f xml:space="preserve">     17760</f>
        <v>17760</v>
      </c>
      <c r="D1614" s="11"/>
      <c r="E1614" s="17"/>
      <c r="F1614" s="12"/>
      <c r="G1614" s="8">
        <f t="shared" si="25"/>
        <v>0</v>
      </c>
      <c r="H1614" s="1"/>
    </row>
    <row r="1615" spans="1:8" ht="15.75" customHeight="1">
      <c r="A1615" s="6">
        <v>1611</v>
      </c>
      <c r="B1615" s="11" t="s">
        <v>1531</v>
      </c>
      <c r="C1615" s="11">
        <f xml:space="preserve">     80250</f>
        <v>80250</v>
      </c>
      <c r="D1615" s="11"/>
      <c r="E1615" s="17"/>
      <c r="F1615" s="12"/>
      <c r="G1615" s="8">
        <f t="shared" si="25"/>
        <v>0</v>
      </c>
      <c r="H1615" s="1"/>
    </row>
    <row r="1616" spans="1:8" ht="15.75" customHeight="1">
      <c r="A1616" s="6">
        <v>1612</v>
      </c>
      <c r="B1616" s="11" t="s">
        <v>1532</v>
      </c>
      <c r="C1616" s="11">
        <f xml:space="preserve">     31000</f>
        <v>31000</v>
      </c>
      <c r="D1616" s="11"/>
      <c r="E1616" s="17"/>
      <c r="F1616" s="12"/>
      <c r="G1616" s="8">
        <f t="shared" si="25"/>
        <v>0</v>
      </c>
      <c r="H1616" s="1"/>
    </row>
    <row r="1617" spans="1:8" ht="15.75" customHeight="1">
      <c r="A1617" s="6">
        <v>1613</v>
      </c>
      <c r="B1617" s="11" t="s">
        <v>1533</v>
      </c>
      <c r="C1617" s="11">
        <f xml:space="preserve">     39100</f>
        <v>39100</v>
      </c>
      <c r="D1617" s="11"/>
      <c r="E1617" s="17"/>
      <c r="F1617" s="12"/>
      <c r="G1617" s="8">
        <f t="shared" si="25"/>
        <v>0</v>
      </c>
      <c r="H1617" s="1"/>
    </row>
    <row r="1618" spans="1:8" ht="15.75" customHeight="1">
      <c r="A1618" s="6">
        <v>1614</v>
      </c>
      <c r="B1618" s="11" t="s">
        <v>1534</v>
      </c>
      <c r="C1618" s="11">
        <f xml:space="preserve">     19050</f>
        <v>19050</v>
      </c>
      <c r="D1618" s="11"/>
      <c r="E1618" s="17"/>
      <c r="F1618" s="12"/>
      <c r="G1618" s="8">
        <f t="shared" si="25"/>
        <v>0</v>
      </c>
      <c r="H1618" s="1"/>
    </row>
    <row r="1619" spans="1:8" ht="15.75" customHeight="1">
      <c r="A1619" s="6">
        <v>1615</v>
      </c>
      <c r="B1619" s="11" t="s">
        <v>1535</v>
      </c>
      <c r="C1619" s="11">
        <f xml:space="preserve">     16720</f>
        <v>16720</v>
      </c>
      <c r="D1619" s="11"/>
      <c r="E1619" s="17"/>
      <c r="F1619" s="12"/>
      <c r="G1619" s="8">
        <f t="shared" si="25"/>
        <v>0</v>
      </c>
      <c r="H1619" s="1"/>
    </row>
    <row r="1620" spans="1:8" ht="15.75" customHeight="1">
      <c r="A1620" s="6">
        <v>1616</v>
      </c>
      <c r="B1620" s="11" t="s">
        <v>1536</v>
      </c>
      <c r="C1620" s="11">
        <f xml:space="preserve">      8850</f>
        <v>8850</v>
      </c>
      <c r="D1620" s="11"/>
      <c r="E1620" s="17"/>
      <c r="F1620" s="12"/>
      <c r="G1620" s="8">
        <f t="shared" si="25"/>
        <v>0</v>
      </c>
      <c r="H1620" s="1"/>
    </row>
    <row r="1621" spans="1:8" ht="15.75" customHeight="1">
      <c r="A1621" s="6">
        <v>1617</v>
      </c>
      <c r="B1621" s="11" t="s">
        <v>1537</v>
      </c>
      <c r="C1621" s="11">
        <f xml:space="preserve">     33700</f>
        <v>33700</v>
      </c>
      <c r="D1621" s="11"/>
      <c r="E1621" s="17"/>
      <c r="F1621" s="12"/>
      <c r="G1621" s="8">
        <f t="shared" si="25"/>
        <v>0</v>
      </c>
      <c r="H1621" s="1"/>
    </row>
    <row r="1622" spans="1:8" ht="15.75" customHeight="1">
      <c r="A1622" s="6">
        <v>1618</v>
      </c>
      <c r="B1622" s="11" t="s">
        <v>1538</v>
      </c>
      <c r="C1622" s="11">
        <f xml:space="preserve">     17500</f>
        <v>17500</v>
      </c>
      <c r="D1622" s="11"/>
      <c r="E1622" s="17"/>
      <c r="F1622" s="12"/>
      <c r="G1622" s="8">
        <f t="shared" si="25"/>
        <v>0</v>
      </c>
      <c r="H1622" s="1"/>
    </row>
    <row r="1623" spans="1:8" ht="15.75" customHeight="1">
      <c r="A1623" s="6">
        <v>1619</v>
      </c>
      <c r="B1623" s="11" t="s">
        <v>1539</v>
      </c>
      <c r="C1623" s="11">
        <f xml:space="preserve">     56100</f>
        <v>56100</v>
      </c>
      <c r="D1623" s="11"/>
      <c r="E1623" s="17"/>
      <c r="F1623" s="12"/>
      <c r="G1623" s="8">
        <f t="shared" si="25"/>
        <v>0</v>
      </c>
      <c r="H1623" s="1"/>
    </row>
    <row r="1624" spans="1:8" ht="15.75" customHeight="1">
      <c r="A1624" s="6">
        <v>1620</v>
      </c>
      <c r="B1624" s="11" t="s">
        <v>1540</v>
      </c>
      <c r="C1624" s="11">
        <f xml:space="preserve">     49500</f>
        <v>49500</v>
      </c>
      <c r="D1624" s="11"/>
      <c r="E1624" s="17"/>
      <c r="F1624" s="12"/>
      <c r="G1624" s="8">
        <f t="shared" si="25"/>
        <v>0</v>
      </c>
      <c r="H1624" s="1"/>
    </row>
    <row r="1625" spans="1:8" ht="15.75" customHeight="1">
      <c r="A1625" s="6">
        <v>1621</v>
      </c>
      <c r="B1625" s="11" t="s">
        <v>1541</v>
      </c>
      <c r="C1625" s="11">
        <f xml:space="preserve">     29200</f>
        <v>29200</v>
      </c>
      <c r="D1625" s="11"/>
      <c r="E1625" s="17"/>
      <c r="F1625" s="12"/>
      <c r="G1625" s="8">
        <f t="shared" si="25"/>
        <v>0</v>
      </c>
      <c r="H1625" s="1"/>
    </row>
    <row r="1626" spans="1:8" ht="15.75" customHeight="1">
      <c r="A1626" s="6">
        <v>1622</v>
      </c>
      <c r="B1626" s="11" t="s">
        <v>1542</v>
      </c>
      <c r="C1626" s="11">
        <f xml:space="preserve">     12350</f>
        <v>12350</v>
      </c>
      <c r="D1626" s="11"/>
      <c r="E1626" s="17"/>
      <c r="F1626" s="12"/>
      <c r="G1626" s="8">
        <f t="shared" si="25"/>
        <v>0</v>
      </c>
      <c r="H1626" s="1"/>
    </row>
    <row r="1627" spans="1:8" ht="15.75" customHeight="1">
      <c r="A1627" s="6">
        <v>1623</v>
      </c>
      <c r="B1627" s="11" t="s">
        <v>1543</v>
      </c>
      <c r="C1627" s="11">
        <f xml:space="preserve">      7950</f>
        <v>7950</v>
      </c>
      <c r="D1627" s="11"/>
      <c r="E1627" s="17"/>
      <c r="F1627" s="12"/>
      <c r="G1627" s="8">
        <f t="shared" si="25"/>
        <v>0</v>
      </c>
      <c r="H1627" s="1"/>
    </row>
    <row r="1628" spans="1:8" ht="15.75" customHeight="1">
      <c r="A1628" s="6">
        <v>1624</v>
      </c>
      <c r="B1628" s="11" t="s">
        <v>1544</v>
      </c>
      <c r="C1628" s="11">
        <f xml:space="preserve">    160000</f>
        <v>160000</v>
      </c>
      <c r="D1628" s="11"/>
      <c r="E1628" s="17"/>
      <c r="F1628" s="12"/>
      <c r="G1628" s="8">
        <f t="shared" si="25"/>
        <v>0</v>
      </c>
      <c r="H1628" s="1"/>
    </row>
    <row r="1629" spans="1:8" ht="15.75" customHeight="1">
      <c r="A1629" s="6">
        <v>1625</v>
      </c>
      <c r="B1629" s="11" t="s">
        <v>1545</v>
      </c>
      <c r="C1629" s="11">
        <f xml:space="preserve">     45350</f>
        <v>45350</v>
      </c>
      <c r="D1629" s="11"/>
      <c r="E1629" s="17"/>
      <c r="F1629" s="12"/>
      <c r="G1629" s="8">
        <f t="shared" si="25"/>
        <v>0</v>
      </c>
      <c r="H1629" s="1"/>
    </row>
    <row r="1630" spans="1:8" ht="15.75" customHeight="1">
      <c r="A1630" s="6">
        <v>1626</v>
      </c>
      <c r="B1630" s="11" t="s">
        <v>1546</v>
      </c>
      <c r="C1630" s="11">
        <f xml:space="preserve">      9800</f>
        <v>9800</v>
      </c>
      <c r="D1630" s="11"/>
      <c r="E1630" s="17"/>
      <c r="F1630" s="12"/>
      <c r="G1630" s="8">
        <f t="shared" si="25"/>
        <v>0</v>
      </c>
      <c r="H1630" s="1"/>
    </row>
    <row r="1631" spans="1:8" ht="15.75" customHeight="1">
      <c r="A1631" s="6">
        <v>1627</v>
      </c>
      <c r="B1631" s="11" t="s">
        <v>1547</v>
      </c>
      <c r="C1631" s="11">
        <f xml:space="preserve">      5200</f>
        <v>5200</v>
      </c>
      <c r="D1631" s="11"/>
      <c r="E1631" s="17"/>
      <c r="F1631" s="12"/>
      <c r="G1631" s="8">
        <f t="shared" si="25"/>
        <v>0</v>
      </c>
      <c r="H1631" s="1"/>
    </row>
    <row r="1632" spans="1:8" ht="15.75" customHeight="1">
      <c r="A1632" s="6">
        <v>1628</v>
      </c>
      <c r="B1632" s="11" t="s">
        <v>1548</v>
      </c>
      <c r="C1632" s="11">
        <f xml:space="preserve">      8300</f>
        <v>8300</v>
      </c>
      <c r="D1632" s="11"/>
      <c r="E1632" s="17"/>
      <c r="F1632" s="12"/>
      <c r="G1632" s="8">
        <f t="shared" si="25"/>
        <v>0</v>
      </c>
      <c r="H1632" s="1"/>
    </row>
    <row r="1633" spans="1:8" ht="15.75" customHeight="1">
      <c r="A1633" s="6">
        <v>1629</v>
      </c>
      <c r="B1633" s="11" t="s">
        <v>1549</v>
      </c>
      <c r="C1633" s="11">
        <f xml:space="preserve">      6600</f>
        <v>6600</v>
      </c>
      <c r="D1633" s="11"/>
      <c r="E1633" s="17"/>
      <c r="F1633" s="12"/>
      <c r="G1633" s="8">
        <f t="shared" si="25"/>
        <v>0</v>
      </c>
      <c r="H1633" s="1"/>
    </row>
    <row r="1634" spans="1:8" ht="15.75" customHeight="1">
      <c r="A1634" s="6">
        <v>1630</v>
      </c>
      <c r="B1634" s="11" t="s">
        <v>1550</v>
      </c>
      <c r="C1634" s="11">
        <f xml:space="preserve">      9850</f>
        <v>9850</v>
      </c>
      <c r="D1634" s="11"/>
      <c r="E1634" s="17"/>
      <c r="F1634" s="12"/>
      <c r="G1634" s="8">
        <f t="shared" si="25"/>
        <v>0</v>
      </c>
      <c r="H1634" s="1"/>
    </row>
    <row r="1635" spans="1:8" ht="15.75" customHeight="1">
      <c r="A1635" s="6">
        <v>1631</v>
      </c>
      <c r="B1635" s="11" t="s">
        <v>1551</v>
      </c>
      <c r="C1635" s="11">
        <f xml:space="preserve">      4750</f>
        <v>4750</v>
      </c>
      <c r="D1635" s="11"/>
      <c r="E1635" s="17"/>
      <c r="F1635" s="12"/>
      <c r="G1635" s="8">
        <f t="shared" si="25"/>
        <v>0</v>
      </c>
      <c r="H1635" s="1"/>
    </row>
    <row r="1636" spans="1:8" ht="15.75" customHeight="1">
      <c r="A1636" s="6">
        <v>1632</v>
      </c>
      <c r="B1636" s="11" t="s">
        <v>1551</v>
      </c>
      <c r="C1636" s="11">
        <f xml:space="preserve">      4750</f>
        <v>4750</v>
      </c>
      <c r="D1636" s="11"/>
      <c r="E1636" s="17"/>
      <c r="F1636" s="12"/>
      <c r="G1636" s="8">
        <f t="shared" si="25"/>
        <v>0</v>
      </c>
      <c r="H1636" s="1"/>
    </row>
    <row r="1637" spans="1:8" ht="15.75" customHeight="1">
      <c r="A1637" s="6">
        <v>1633</v>
      </c>
      <c r="B1637" s="11" t="s">
        <v>1552</v>
      </c>
      <c r="C1637" s="11">
        <f xml:space="preserve">     65800</f>
        <v>65800</v>
      </c>
      <c r="D1637" s="11"/>
      <c r="E1637" s="17"/>
      <c r="F1637" s="12"/>
      <c r="G1637" s="8">
        <f t="shared" si="25"/>
        <v>0</v>
      </c>
      <c r="H1637" s="1"/>
    </row>
    <row r="1638" spans="1:8" ht="15.75" customHeight="1">
      <c r="A1638" s="6">
        <v>1634</v>
      </c>
      <c r="B1638" s="11" t="s">
        <v>1553</v>
      </c>
      <c r="C1638" s="11">
        <f xml:space="preserve">     10800</f>
        <v>10800</v>
      </c>
      <c r="D1638" s="11"/>
      <c r="E1638" s="17"/>
      <c r="F1638" s="12"/>
      <c r="G1638" s="8">
        <f t="shared" si="25"/>
        <v>0</v>
      </c>
      <c r="H1638" s="1"/>
    </row>
    <row r="1639" spans="1:8" ht="15.75" customHeight="1">
      <c r="A1639" s="6">
        <v>1635</v>
      </c>
      <c r="B1639" s="11" t="s">
        <v>1554</v>
      </c>
      <c r="C1639" s="11">
        <f xml:space="preserve">     45100</f>
        <v>45100</v>
      </c>
      <c r="D1639" s="11"/>
      <c r="E1639" s="17"/>
      <c r="F1639" s="12"/>
      <c r="G1639" s="8">
        <f t="shared" si="25"/>
        <v>0</v>
      </c>
      <c r="H1639" s="1"/>
    </row>
    <row r="1640" spans="1:8" ht="15.75" customHeight="1">
      <c r="A1640" s="6">
        <v>1636</v>
      </c>
      <c r="B1640" s="11" t="s">
        <v>1555</v>
      </c>
      <c r="C1640" s="11">
        <f xml:space="preserve">     90150</f>
        <v>90150</v>
      </c>
      <c r="D1640" s="11"/>
      <c r="E1640" s="17"/>
      <c r="F1640" s="12"/>
      <c r="G1640" s="8">
        <f t="shared" si="25"/>
        <v>0</v>
      </c>
      <c r="H1640" s="1"/>
    </row>
    <row r="1641" spans="1:8" ht="15.75" customHeight="1">
      <c r="A1641" s="6">
        <v>1637</v>
      </c>
      <c r="B1641" s="11" t="s">
        <v>1556</v>
      </c>
      <c r="C1641" s="11">
        <f xml:space="preserve">     54100</f>
        <v>54100</v>
      </c>
      <c r="D1641" s="11"/>
      <c r="E1641" s="17"/>
      <c r="F1641" s="12"/>
      <c r="G1641" s="8">
        <f t="shared" si="25"/>
        <v>0</v>
      </c>
      <c r="H1641" s="1"/>
    </row>
    <row r="1642" spans="1:8" ht="15.75" customHeight="1">
      <c r="A1642" s="6">
        <v>1638</v>
      </c>
      <c r="B1642" s="11" t="s">
        <v>1557</v>
      </c>
      <c r="C1642" s="11">
        <f xml:space="preserve">     42500</f>
        <v>42500</v>
      </c>
      <c r="D1642" s="11"/>
      <c r="E1642" s="17"/>
      <c r="F1642" s="12"/>
      <c r="G1642" s="8">
        <f t="shared" si="25"/>
        <v>0</v>
      </c>
      <c r="H1642" s="1"/>
    </row>
    <row r="1643" spans="1:8" ht="15.75" customHeight="1">
      <c r="A1643" s="6">
        <v>1639</v>
      </c>
      <c r="B1643" s="11" t="s">
        <v>1558</v>
      </c>
      <c r="C1643" s="11">
        <f xml:space="preserve">     25350</f>
        <v>25350</v>
      </c>
      <c r="D1643" s="11"/>
      <c r="E1643" s="17"/>
      <c r="F1643" s="12"/>
      <c r="G1643" s="8">
        <f t="shared" si="25"/>
        <v>0</v>
      </c>
      <c r="H1643" s="1"/>
    </row>
    <row r="1644" spans="1:8" ht="15.75" customHeight="1">
      <c r="A1644" s="6">
        <v>1640</v>
      </c>
      <c r="B1644" s="11" t="s">
        <v>1559</v>
      </c>
      <c r="C1644" s="11">
        <f xml:space="preserve">     30550</f>
        <v>30550</v>
      </c>
      <c r="D1644" s="11"/>
      <c r="E1644" s="17"/>
      <c r="F1644" s="12"/>
      <c r="G1644" s="8">
        <f t="shared" si="25"/>
        <v>0</v>
      </c>
      <c r="H1644" s="1"/>
    </row>
    <row r="1645" spans="1:8" ht="15.75" customHeight="1">
      <c r="A1645" s="6">
        <v>1641</v>
      </c>
      <c r="B1645" s="11" t="s">
        <v>1560</v>
      </c>
      <c r="C1645" s="11">
        <f xml:space="preserve">     35750</f>
        <v>35750</v>
      </c>
      <c r="D1645" s="11"/>
      <c r="E1645" s="17"/>
      <c r="F1645" s="12"/>
      <c r="G1645" s="8">
        <f t="shared" si="25"/>
        <v>0</v>
      </c>
      <c r="H1645" s="1"/>
    </row>
    <row r="1646" spans="1:8" ht="15.75" customHeight="1">
      <c r="A1646" s="6">
        <v>1642</v>
      </c>
      <c r="B1646" s="11" t="s">
        <v>1561</v>
      </c>
      <c r="C1646" s="11">
        <f xml:space="preserve">     29350</f>
        <v>29350</v>
      </c>
      <c r="D1646" s="11"/>
      <c r="E1646" s="17"/>
      <c r="F1646" s="12"/>
      <c r="G1646" s="8">
        <f t="shared" si="25"/>
        <v>0</v>
      </c>
      <c r="H1646" s="1"/>
    </row>
    <row r="1647" spans="1:8" ht="15.75" customHeight="1">
      <c r="A1647" s="6">
        <v>1643</v>
      </c>
      <c r="B1647" s="11" t="s">
        <v>1562</v>
      </c>
      <c r="C1647" s="11">
        <f xml:space="preserve">      3100</f>
        <v>3100</v>
      </c>
      <c r="D1647" s="11"/>
      <c r="E1647" s="17"/>
      <c r="F1647" s="12"/>
      <c r="G1647" s="8">
        <f t="shared" si="25"/>
        <v>0</v>
      </c>
      <c r="H1647" s="1"/>
    </row>
    <row r="1648" spans="1:8" ht="15.75" customHeight="1">
      <c r="A1648" s="6">
        <v>1644</v>
      </c>
      <c r="B1648" s="11" t="s">
        <v>1563</v>
      </c>
      <c r="C1648" s="11">
        <f xml:space="preserve">      3450</f>
        <v>3450</v>
      </c>
      <c r="D1648" s="11"/>
      <c r="E1648" s="17"/>
      <c r="F1648" s="12"/>
      <c r="G1648" s="8">
        <f t="shared" si="25"/>
        <v>0</v>
      </c>
      <c r="H1648" s="1"/>
    </row>
    <row r="1649" spans="1:8" ht="15.75" customHeight="1">
      <c r="A1649" s="6">
        <v>1645</v>
      </c>
      <c r="B1649" s="11" t="s">
        <v>1564</v>
      </c>
      <c r="C1649" s="11">
        <f xml:space="preserve">      5250</f>
        <v>5250</v>
      </c>
      <c r="D1649" s="11"/>
      <c r="E1649" s="17"/>
      <c r="F1649" s="12"/>
      <c r="G1649" s="8">
        <f t="shared" si="25"/>
        <v>0</v>
      </c>
      <c r="H1649" s="1"/>
    </row>
    <row r="1650" spans="1:8" ht="15.75" customHeight="1">
      <c r="A1650" s="6">
        <v>1646</v>
      </c>
      <c r="B1650" s="11" t="s">
        <v>1564</v>
      </c>
      <c r="C1650" s="11">
        <f xml:space="preserve">      5250</f>
        <v>5250</v>
      </c>
      <c r="D1650" s="11"/>
      <c r="E1650" s="17"/>
      <c r="F1650" s="12"/>
      <c r="G1650" s="8">
        <f t="shared" si="25"/>
        <v>0</v>
      </c>
      <c r="H1650" s="1"/>
    </row>
    <row r="1651" spans="1:8" ht="15.75" customHeight="1">
      <c r="A1651" s="6">
        <v>1647</v>
      </c>
      <c r="B1651" s="11" t="s">
        <v>1565</v>
      </c>
      <c r="C1651" s="11">
        <f xml:space="preserve">     10850</f>
        <v>10850</v>
      </c>
      <c r="D1651" s="11"/>
      <c r="E1651" s="17"/>
      <c r="F1651" s="12"/>
      <c r="G1651" s="8">
        <f t="shared" si="25"/>
        <v>0</v>
      </c>
      <c r="H1651" s="1"/>
    </row>
    <row r="1652" spans="1:8" ht="15.75" customHeight="1">
      <c r="A1652" s="6">
        <v>1648</v>
      </c>
      <c r="B1652" s="11" t="s">
        <v>1566</v>
      </c>
      <c r="C1652" s="11">
        <f xml:space="preserve">     34100</f>
        <v>34100</v>
      </c>
      <c r="D1652" s="11"/>
      <c r="E1652" s="17"/>
      <c r="F1652" s="12"/>
      <c r="G1652" s="8">
        <f t="shared" si="25"/>
        <v>0</v>
      </c>
      <c r="H1652" s="1"/>
    </row>
    <row r="1653" spans="1:8" ht="15.75" customHeight="1">
      <c r="A1653" s="6">
        <v>1649</v>
      </c>
      <c r="B1653" s="11" t="s">
        <v>1567</v>
      </c>
      <c r="C1653" s="11">
        <f xml:space="preserve">     32650</f>
        <v>32650</v>
      </c>
      <c r="D1653" s="11"/>
      <c r="E1653" s="17"/>
      <c r="F1653" s="12"/>
      <c r="G1653" s="8">
        <f t="shared" si="25"/>
        <v>0</v>
      </c>
      <c r="H1653" s="1"/>
    </row>
    <row r="1654" spans="1:8" ht="15.75" customHeight="1">
      <c r="A1654" s="6">
        <v>1650</v>
      </c>
      <c r="B1654" s="11" t="s">
        <v>1568</v>
      </c>
      <c r="C1654" s="11">
        <f xml:space="preserve">     29400</f>
        <v>29400</v>
      </c>
      <c r="D1654" s="11"/>
      <c r="E1654" s="17"/>
      <c r="F1654" s="12"/>
      <c r="G1654" s="8">
        <f t="shared" si="25"/>
        <v>0</v>
      </c>
      <c r="H1654" s="1"/>
    </row>
    <row r="1655" spans="1:8" ht="15.75" customHeight="1">
      <c r="A1655" s="6">
        <v>1651</v>
      </c>
      <c r="B1655" s="11" t="s">
        <v>1569</v>
      </c>
      <c r="C1655" s="11">
        <f xml:space="preserve">     31300</f>
        <v>31300</v>
      </c>
      <c r="D1655" s="11"/>
      <c r="E1655" s="17"/>
      <c r="F1655" s="12"/>
      <c r="G1655" s="8">
        <f t="shared" si="25"/>
        <v>0</v>
      </c>
      <c r="H1655" s="1"/>
    </row>
    <row r="1656" spans="1:8" ht="15.75" customHeight="1">
      <c r="A1656" s="6">
        <v>1652</v>
      </c>
      <c r="B1656" s="11" t="s">
        <v>1570</v>
      </c>
      <c r="C1656" s="11">
        <f xml:space="preserve">    136600</f>
        <v>136600</v>
      </c>
      <c r="D1656" s="11"/>
      <c r="E1656" s="17"/>
      <c r="F1656" s="12"/>
      <c r="G1656" s="8">
        <f t="shared" si="25"/>
        <v>0</v>
      </c>
      <c r="H1656" s="1"/>
    </row>
    <row r="1657" spans="1:8" ht="15.75" customHeight="1">
      <c r="A1657" s="6">
        <v>1653</v>
      </c>
      <c r="B1657" s="11" t="s">
        <v>1571</v>
      </c>
      <c r="C1657" s="11">
        <f xml:space="preserve">     42100</f>
        <v>42100</v>
      </c>
      <c r="D1657" s="11"/>
      <c r="E1657" s="17"/>
      <c r="F1657" s="12"/>
      <c r="G1657" s="8">
        <f t="shared" si="25"/>
        <v>0</v>
      </c>
      <c r="H1657" s="1"/>
    </row>
    <row r="1658" spans="1:8" ht="15.75" customHeight="1">
      <c r="A1658" s="6">
        <v>1654</v>
      </c>
      <c r="B1658" s="11" t="s">
        <v>1572</v>
      </c>
      <c r="C1658" s="11">
        <f xml:space="preserve">     24800</f>
        <v>24800</v>
      </c>
      <c r="D1658" s="11"/>
      <c r="E1658" s="17"/>
      <c r="F1658" s="12"/>
      <c r="G1658" s="8">
        <f t="shared" si="25"/>
        <v>0</v>
      </c>
      <c r="H1658" s="1"/>
    </row>
    <row r="1659" spans="1:8" ht="15.75" customHeight="1">
      <c r="A1659" s="6">
        <v>1655</v>
      </c>
      <c r="B1659" s="11" t="s">
        <v>1573</v>
      </c>
      <c r="C1659" s="11">
        <f xml:space="preserve">     79000</f>
        <v>79000</v>
      </c>
      <c r="D1659" s="11"/>
      <c r="E1659" s="17"/>
      <c r="F1659" s="12"/>
      <c r="G1659" s="8">
        <f t="shared" si="25"/>
        <v>0</v>
      </c>
      <c r="H1659" s="1"/>
    </row>
    <row r="1660" spans="1:8" ht="15.75" customHeight="1">
      <c r="A1660" s="6">
        <v>1656</v>
      </c>
      <c r="B1660" s="11" t="s">
        <v>1574</v>
      </c>
      <c r="C1660" s="11">
        <f xml:space="preserve">     90000</f>
        <v>90000</v>
      </c>
      <c r="D1660" s="11"/>
      <c r="E1660" s="17"/>
      <c r="F1660" s="12"/>
      <c r="G1660" s="8">
        <f t="shared" si="25"/>
        <v>0</v>
      </c>
      <c r="H1660" s="1"/>
    </row>
    <row r="1661" spans="1:8" ht="15.75" customHeight="1">
      <c r="A1661" s="6">
        <v>1657</v>
      </c>
      <c r="B1661" s="11" t="s">
        <v>1575</v>
      </c>
      <c r="C1661" s="11">
        <f xml:space="preserve">     90000</f>
        <v>90000</v>
      </c>
      <c r="D1661" s="11"/>
      <c r="E1661" s="17"/>
      <c r="F1661" s="12"/>
      <c r="G1661" s="8">
        <f t="shared" si="25"/>
        <v>0</v>
      </c>
      <c r="H1661" s="1"/>
    </row>
    <row r="1662" spans="1:8" ht="15.75" customHeight="1">
      <c r="A1662" s="6">
        <v>1658</v>
      </c>
      <c r="B1662" s="11" t="s">
        <v>1576</v>
      </c>
      <c r="C1662" s="11">
        <f xml:space="preserve">     90000</f>
        <v>90000</v>
      </c>
      <c r="D1662" s="11"/>
      <c r="E1662" s="17"/>
      <c r="F1662" s="12"/>
      <c r="G1662" s="8">
        <f t="shared" si="25"/>
        <v>0</v>
      </c>
      <c r="H1662" s="1"/>
    </row>
    <row r="1663" spans="1:8" ht="15.75" customHeight="1">
      <c r="A1663" s="6">
        <v>1659</v>
      </c>
      <c r="B1663" s="11" t="s">
        <v>1577</v>
      </c>
      <c r="C1663" s="11">
        <f xml:space="preserve">     90000</f>
        <v>90000</v>
      </c>
      <c r="D1663" s="11"/>
      <c r="E1663" s="17"/>
      <c r="F1663" s="12"/>
      <c r="G1663" s="8">
        <f t="shared" si="25"/>
        <v>0</v>
      </c>
      <c r="H1663" s="1"/>
    </row>
    <row r="1664" spans="1:8" ht="15.75" customHeight="1">
      <c r="A1664" s="6">
        <v>1660</v>
      </c>
      <c r="B1664" s="11" t="s">
        <v>1578</v>
      </c>
      <c r="C1664" s="11">
        <f xml:space="preserve">     90000</f>
        <v>90000</v>
      </c>
      <c r="D1664" s="11"/>
      <c r="E1664" s="17"/>
      <c r="F1664" s="12"/>
      <c r="G1664" s="8">
        <f t="shared" si="25"/>
        <v>0</v>
      </c>
      <c r="H1664" s="1"/>
    </row>
    <row r="1665" spans="1:8" ht="15.75" customHeight="1">
      <c r="A1665" s="6">
        <v>1661</v>
      </c>
      <c r="B1665" s="11" t="s">
        <v>2478</v>
      </c>
      <c r="C1665" s="11">
        <f xml:space="preserve">    139100</f>
        <v>139100</v>
      </c>
      <c r="D1665" s="11"/>
      <c r="E1665" s="17"/>
      <c r="F1665" s="12"/>
      <c r="G1665" s="8">
        <f t="shared" ref="G1665:G1728" si="26">C1665*D1665+E1665*F1665</f>
        <v>0</v>
      </c>
      <c r="H1665" s="1"/>
    </row>
    <row r="1666" spans="1:8" ht="15.75" customHeight="1">
      <c r="A1666" s="6">
        <v>1662</v>
      </c>
      <c r="B1666" s="11" t="s">
        <v>2479</v>
      </c>
      <c r="C1666" s="11">
        <f xml:space="preserve">    153100</f>
        <v>153100</v>
      </c>
      <c r="D1666" s="11"/>
      <c r="E1666" s="17"/>
      <c r="F1666" s="12"/>
      <c r="G1666" s="8">
        <f t="shared" si="26"/>
        <v>0</v>
      </c>
      <c r="H1666" s="1"/>
    </row>
    <row r="1667" spans="1:8" ht="15.75" customHeight="1">
      <c r="A1667" s="6">
        <v>1663</v>
      </c>
      <c r="B1667" s="11" t="s">
        <v>1579</v>
      </c>
      <c r="C1667" s="11">
        <f xml:space="preserve">    173300</f>
        <v>173300</v>
      </c>
      <c r="D1667" s="11"/>
      <c r="E1667" s="17"/>
      <c r="F1667" s="12"/>
      <c r="G1667" s="8">
        <f t="shared" si="26"/>
        <v>0</v>
      </c>
      <c r="H1667" s="1"/>
    </row>
    <row r="1668" spans="1:8" ht="15.75" customHeight="1">
      <c r="A1668" s="6">
        <v>1664</v>
      </c>
      <c r="B1668" s="11" t="s">
        <v>1579</v>
      </c>
      <c r="C1668" s="11">
        <f xml:space="preserve">    173300</f>
        <v>173300</v>
      </c>
      <c r="D1668" s="11"/>
      <c r="E1668" s="17"/>
      <c r="F1668" s="12"/>
      <c r="G1668" s="8">
        <f t="shared" si="26"/>
        <v>0</v>
      </c>
      <c r="H1668" s="1"/>
    </row>
    <row r="1669" spans="1:8" ht="15.75" customHeight="1">
      <c r="A1669" s="6">
        <v>1665</v>
      </c>
      <c r="B1669" s="11" t="s">
        <v>1580</v>
      </c>
      <c r="C1669" s="11">
        <f xml:space="preserve">     29650</f>
        <v>29650</v>
      </c>
      <c r="D1669" s="11"/>
      <c r="E1669" s="17"/>
      <c r="F1669" s="12"/>
      <c r="G1669" s="8">
        <f t="shared" si="26"/>
        <v>0</v>
      </c>
      <c r="H1669" s="1"/>
    </row>
    <row r="1670" spans="1:8" ht="15.75" customHeight="1">
      <c r="A1670" s="6">
        <v>1666</v>
      </c>
      <c r="B1670" s="11" t="s">
        <v>1581</v>
      </c>
      <c r="C1670" s="11">
        <f xml:space="preserve">     39600</f>
        <v>39600</v>
      </c>
      <c r="D1670" s="11"/>
      <c r="E1670" s="17"/>
      <c r="F1670" s="12"/>
      <c r="G1670" s="8">
        <f t="shared" si="26"/>
        <v>0</v>
      </c>
      <c r="H1670" s="1"/>
    </row>
    <row r="1671" spans="1:8" ht="15.75" customHeight="1">
      <c r="A1671" s="6">
        <v>1667</v>
      </c>
      <c r="B1671" s="11" t="s">
        <v>1582</v>
      </c>
      <c r="C1671" s="11">
        <f xml:space="preserve">     39500</f>
        <v>39500</v>
      </c>
      <c r="D1671" s="11"/>
      <c r="E1671" s="17"/>
      <c r="F1671" s="12"/>
      <c r="G1671" s="8">
        <f t="shared" si="26"/>
        <v>0</v>
      </c>
      <c r="H1671" s="1"/>
    </row>
    <row r="1672" spans="1:8" ht="15.75" customHeight="1">
      <c r="A1672" s="6">
        <v>1668</v>
      </c>
      <c r="B1672" s="11" t="s">
        <v>1583</v>
      </c>
      <c r="C1672" s="11">
        <f xml:space="preserve">     53550</f>
        <v>53550</v>
      </c>
      <c r="D1672" s="11"/>
      <c r="E1672" s="17"/>
      <c r="F1672" s="12"/>
      <c r="G1672" s="8">
        <f t="shared" si="26"/>
        <v>0</v>
      </c>
      <c r="H1672" s="1"/>
    </row>
    <row r="1673" spans="1:8" ht="15.75" customHeight="1">
      <c r="A1673" s="6">
        <v>1669</v>
      </c>
      <c r="B1673" s="11" t="s">
        <v>1584</v>
      </c>
      <c r="C1673" s="11">
        <f xml:space="preserve">     11550</f>
        <v>11550</v>
      </c>
      <c r="D1673" s="11"/>
      <c r="E1673" s="17"/>
      <c r="F1673" s="12"/>
      <c r="G1673" s="8">
        <f t="shared" si="26"/>
        <v>0</v>
      </c>
      <c r="H1673" s="1"/>
    </row>
    <row r="1674" spans="1:8" ht="15.75" customHeight="1">
      <c r="A1674" s="6">
        <v>1670</v>
      </c>
      <c r="B1674" s="11" t="s">
        <v>1584</v>
      </c>
      <c r="C1674" s="11">
        <f xml:space="preserve">     11500</f>
        <v>11500</v>
      </c>
      <c r="D1674" s="11"/>
      <c r="E1674" s="17"/>
      <c r="F1674" s="12"/>
      <c r="G1674" s="8">
        <f t="shared" si="26"/>
        <v>0</v>
      </c>
      <c r="H1674" s="1"/>
    </row>
    <row r="1675" spans="1:8" ht="15.75" customHeight="1">
      <c r="A1675" s="6">
        <v>1671</v>
      </c>
      <c r="B1675" s="11" t="s">
        <v>1585</v>
      </c>
      <c r="C1675" s="11">
        <f xml:space="preserve">      7500</f>
        <v>7500</v>
      </c>
      <c r="D1675" s="11"/>
      <c r="E1675" s="17"/>
      <c r="F1675" s="12"/>
      <c r="G1675" s="8">
        <f t="shared" si="26"/>
        <v>0</v>
      </c>
      <c r="H1675" s="1"/>
    </row>
    <row r="1676" spans="1:8" ht="15.75" customHeight="1">
      <c r="A1676" s="6">
        <v>1672</v>
      </c>
      <c r="B1676" s="11" t="s">
        <v>1586</v>
      </c>
      <c r="C1676" s="11">
        <f xml:space="preserve">     18800</f>
        <v>18800</v>
      </c>
      <c r="D1676" s="11"/>
      <c r="E1676" s="17"/>
      <c r="F1676" s="12"/>
      <c r="G1676" s="8">
        <f t="shared" si="26"/>
        <v>0</v>
      </c>
      <c r="H1676" s="1"/>
    </row>
    <row r="1677" spans="1:8" ht="15.75" customHeight="1">
      <c r="A1677" s="6">
        <v>1673</v>
      </c>
      <c r="B1677" s="11" t="s">
        <v>1587</v>
      </c>
      <c r="C1677" s="11">
        <f xml:space="preserve">     33900</f>
        <v>33900</v>
      </c>
      <c r="D1677" s="11"/>
      <c r="E1677" s="17"/>
      <c r="F1677" s="12"/>
      <c r="G1677" s="8">
        <f t="shared" si="26"/>
        <v>0</v>
      </c>
      <c r="H1677" s="1"/>
    </row>
    <row r="1678" spans="1:8" ht="15.75" customHeight="1">
      <c r="A1678" s="6">
        <v>1674</v>
      </c>
      <c r="B1678" s="11" t="s">
        <v>1588</v>
      </c>
      <c r="C1678" s="11">
        <f xml:space="preserve">    101950</f>
        <v>101950</v>
      </c>
      <c r="D1678" s="11"/>
      <c r="E1678" s="17"/>
      <c r="F1678" s="12"/>
      <c r="G1678" s="8">
        <f t="shared" si="26"/>
        <v>0</v>
      </c>
      <c r="H1678" s="1"/>
    </row>
    <row r="1679" spans="1:8" ht="15.75" customHeight="1">
      <c r="A1679" s="6">
        <v>1675</v>
      </c>
      <c r="B1679" s="11" t="s">
        <v>1589</v>
      </c>
      <c r="C1679" s="11">
        <f xml:space="preserve">     37650</f>
        <v>37650</v>
      </c>
      <c r="D1679" s="11"/>
      <c r="E1679" s="17"/>
      <c r="F1679" s="12"/>
      <c r="G1679" s="8">
        <f t="shared" si="26"/>
        <v>0</v>
      </c>
      <c r="H1679" s="1"/>
    </row>
    <row r="1680" spans="1:8" ht="15.75" customHeight="1">
      <c r="A1680" s="6">
        <v>1676</v>
      </c>
      <c r="B1680" s="11" t="s">
        <v>1590</v>
      </c>
      <c r="C1680" s="11">
        <f xml:space="preserve">    142000</f>
        <v>142000</v>
      </c>
      <c r="D1680" s="11"/>
      <c r="E1680" s="17"/>
      <c r="F1680" s="12"/>
      <c r="G1680" s="8">
        <f t="shared" si="26"/>
        <v>0</v>
      </c>
      <c r="H1680" s="1"/>
    </row>
    <row r="1681" spans="1:8" ht="15.75" customHeight="1">
      <c r="A1681" s="6">
        <v>1677</v>
      </c>
      <c r="B1681" s="11" t="s">
        <v>1591</v>
      </c>
      <c r="C1681" s="11">
        <f xml:space="preserve">    119700</f>
        <v>119700</v>
      </c>
      <c r="D1681" s="11"/>
      <c r="E1681" s="17"/>
      <c r="F1681" s="12"/>
      <c r="G1681" s="8">
        <f t="shared" si="26"/>
        <v>0</v>
      </c>
      <c r="H1681" s="1"/>
    </row>
    <row r="1682" spans="1:8" ht="15.75" customHeight="1">
      <c r="A1682" s="6">
        <v>1678</v>
      </c>
      <c r="B1682" s="11" t="s">
        <v>1592</v>
      </c>
      <c r="C1682" s="11">
        <f xml:space="preserve">     93000</f>
        <v>93000</v>
      </c>
      <c r="D1682" s="11"/>
      <c r="E1682" s="17"/>
      <c r="F1682" s="12"/>
      <c r="G1682" s="8">
        <f t="shared" si="26"/>
        <v>0</v>
      </c>
      <c r="H1682" s="1"/>
    </row>
    <row r="1683" spans="1:8" ht="15.75" customHeight="1">
      <c r="A1683" s="6">
        <v>1679</v>
      </c>
      <c r="B1683" s="11" t="s">
        <v>1593</v>
      </c>
      <c r="C1683" s="11">
        <f xml:space="preserve">      3625</f>
        <v>3625</v>
      </c>
      <c r="D1683" s="11"/>
      <c r="E1683" s="17"/>
      <c r="F1683" s="12"/>
      <c r="G1683" s="8">
        <f t="shared" si="26"/>
        <v>0</v>
      </c>
      <c r="H1683" s="1"/>
    </row>
    <row r="1684" spans="1:8" ht="15.75" customHeight="1">
      <c r="A1684" s="6">
        <v>1680</v>
      </c>
      <c r="B1684" s="11" t="s">
        <v>1594</v>
      </c>
      <c r="C1684" s="11">
        <f xml:space="preserve">      3450</f>
        <v>3450</v>
      </c>
      <c r="D1684" s="11"/>
      <c r="E1684" s="17"/>
      <c r="F1684" s="12"/>
      <c r="G1684" s="8">
        <f t="shared" si="26"/>
        <v>0</v>
      </c>
      <c r="H1684" s="1"/>
    </row>
    <row r="1685" spans="1:8" ht="15.75" customHeight="1">
      <c r="A1685" s="6">
        <v>1681</v>
      </c>
      <c r="B1685" s="11" t="s">
        <v>1595</v>
      </c>
      <c r="C1685" s="11">
        <f xml:space="preserve">      3100</f>
        <v>3100</v>
      </c>
      <c r="D1685" s="11"/>
      <c r="E1685" s="17"/>
      <c r="F1685" s="12"/>
      <c r="G1685" s="8">
        <f t="shared" si="26"/>
        <v>0</v>
      </c>
      <c r="H1685" s="1"/>
    </row>
    <row r="1686" spans="1:8" ht="15.75" customHeight="1">
      <c r="A1686" s="6">
        <v>1682</v>
      </c>
      <c r="B1686" s="11" t="s">
        <v>1596</v>
      </c>
      <c r="C1686" s="11">
        <f xml:space="preserve">      6450</f>
        <v>6450</v>
      </c>
      <c r="D1686" s="11"/>
      <c r="E1686" s="17"/>
      <c r="F1686" s="12"/>
      <c r="G1686" s="8">
        <f t="shared" si="26"/>
        <v>0</v>
      </c>
      <c r="H1686" s="1"/>
    </row>
    <row r="1687" spans="1:8" ht="15.75" customHeight="1">
      <c r="A1687" s="6">
        <v>1683</v>
      </c>
      <c r="B1687" s="11" t="s">
        <v>1597</v>
      </c>
      <c r="C1687" s="11">
        <f xml:space="preserve">      1460</f>
        <v>1460</v>
      </c>
      <c r="D1687" s="11"/>
      <c r="E1687" s="17"/>
      <c r="F1687" s="12"/>
      <c r="G1687" s="8">
        <f t="shared" si="26"/>
        <v>0</v>
      </c>
      <c r="H1687" s="1"/>
    </row>
    <row r="1688" spans="1:8" ht="15.75" customHeight="1">
      <c r="A1688" s="6">
        <v>1684</v>
      </c>
      <c r="B1688" s="11" t="s">
        <v>1598</v>
      </c>
      <c r="C1688" s="11">
        <f xml:space="preserve">      2750</f>
        <v>2750</v>
      </c>
      <c r="D1688" s="11"/>
      <c r="E1688" s="17"/>
      <c r="F1688" s="12"/>
      <c r="G1688" s="8">
        <f t="shared" si="26"/>
        <v>0</v>
      </c>
      <c r="H1688" s="1"/>
    </row>
    <row r="1689" spans="1:8" ht="15.75" customHeight="1">
      <c r="A1689" s="6">
        <v>1685</v>
      </c>
      <c r="B1689" s="11" t="s">
        <v>1599</v>
      </c>
      <c r="C1689" s="11">
        <f xml:space="preserve">      6250</f>
        <v>6250</v>
      </c>
      <c r="D1689" s="11"/>
      <c r="E1689" s="17"/>
      <c r="F1689" s="12"/>
      <c r="G1689" s="8">
        <f t="shared" si="26"/>
        <v>0</v>
      </c>
      <c r="H1689" s="1"/>
    </row>
    <row r="1690" spans="1:8" ht="15.75" customHeight="1">
      <c r="A1690" s="6">
        <v>1686</v>
      </c>
      <c r="B1690" s="11" t="s">
        <v>1600</v>
      </c>
      <c r="C1690" s="11">
        <f xml:space="preserve">      1400</f>
        <v>1400</v>
      </c>
      <c r="D1690" s="11"/>
      <c r="E1690" s="17"/>
      <c r="F1690" s="12"/>
      <c r="G1690" s="8">
        <f t="shared" si="26"/>
        <v>0</v>
      </c>
      <c r="H1690" s="1"/>
    </row>
    <row r="1691" spans="1:8" ht="15.75" customHeight="1">
      <c r="A1691" s="6">
        <v>1687</v>
      </c>
      <c r="B1691" s="11" t="s">
        <v>1601</v>
      </c>
      <c r="C1691" s="11">
        <f xml:space="preserve">       985</f>
        <v>985</v>
      </c>
      <c r="D1691" s="11"/>
      <c r="E1691" s="17"/>
      <c r="F1691" s="12"/>
      <c r="G1691" s="8">
        <f t="shared" si="26"/>
        <v>0</v>
      </c>
      <c r="H1691" s="1"/>
    </row>
    <row r="1692" spans="1:8" ht="15.75" customHeight="1">
      <c r="A1692" s="6">
        <v>1688</v>
      </c>
      <c r="B1692" s="11" t="s">
        <v>1602</v>
      </c>
      <c r="C1692" s="11">
        <f xml:space="preserve">      1870</f>
        <v>1870</v>
      </c>
      <c r="D1692" s="11"/>
      <c r="E1692" s="17"/>
      <c r="F1692" s="12"/>
      <c r="G1692" s="8">
        <f t="shared" si="26"/>
        <v>0</v>
      </c>
      <c r="H1692" s="1"/>
    </row>
    <row r="1693" spans="1:8" ht="15.75" customHeight="1">
      <c r="A1693" s="6">
        <v>1689</v>
      </c>
      <c r="B1693" s="11" t="s">
        <v>1603</v>
      </c>
      <c r="C1693" s="11">
        <f xml:space="preserve">      1250</f>
        <v>1250</v>
      </c>
      <c r="D1693" s="11"/>
      <c r="E1693" s="17"/>
      <c r="F1693" s="12"/>
      <c r="G1693" s="8">
        <f t="shared" si="26"/>
        <v>0</v>
      </c>
      <c r="H1693" s="1"/>
    </row>
    <row r="1694" spans="1:8" ht="15.75" customHeight="1">
      <c r="A1694" s="6">
        <v>1690</v>
      </c>
      <c r="B1694" s="11" t="s">
        <v>1604</v>
      </c>
      <c r="C1694" s="11">
        <f xml:space="preserve">       500</f>
        <v>500</v>
      </c>
      <c r="D1694" s="11"/>
      <c r="E1694" s="17"/>
      <c r="F1694" s="12"/>
      <c r="G1694" s="8">
        <f t="shared" si="26"/>
        <v>0</v>
      </c>
      <c r="H1694" s="1"/>
    </row>
    <row r="1695" spans="1:8" ht="15.75" customHeight="1">
      <c r="A1695" s="6">
        <v>1691</v>
      </c>
      <c r="B1695" s="11" t="s">
        <v>1605</v>
      </c>
      <c r="C1695" s="11">
        <f xml:space="preserve">     50700</f>
        <v>50700</v>
      </c>
      <c r="D1695" s="11"/>
      <c r="E1695" s="17"/>
      <c r="F1695" s="12"/>
      <c r="G1695" s="8">
        <f t="shared" si="26"/>
        <v>0</v>
      </c>
      <c r="H1695" s="1"/>
    </row>
    <row r="1696" spans="1:8" ht="15.75" customHeight="1">
      <c r="A1696" s="6">
        <v>1692</v>
      </c>
      <c r="B1696" s="11" t="s">
        <v>1606</v>
      </c>
      <c r="C1696" s="11">
        <f xml:space="preserve">      9700</f>
        <v>9700</v>
      </c>
      <c r="D1696" s="11"/>
      <c r="E1696" s="17"/>
      <c r="F1696" s="12"/>
      <c r="G1696" s="8">
        <f t="shared" si="26"/>
        <v>0</v>
      </c>
      <c r="H1696" s="1"/>
    </row>
    <row r="1697" spans="1:8" ht="15.75" customHeight="1">
      <c r="A1697" s="6">
        <v>1693</v>
      </c>
      <c r="B1697" s="11" t="s">
        <v>1607</v>
      </c>
      <c r="C1697" s="11">
        <f xml:space="preserve">      5500</f>
        <v>5500</v>
      </c>
      <c r="D1697" s="11"/>
      <c r="E1697" s="17"/>
      <c r="F1697" s="12"/>
      <c r="G1697" s="8">
        <f t="shared" si="26"/>
        <v>0</v>
      </c>
      <c r="H1697" s="1"/>
    </row>
    <row r="1698" spans="1:8" ht="15.75" customHeight="1">
      <c r="A1698" s="6">
        <v>1694</v>
      </c>
      <c r="B1698" s="11" t="s">
        <v>1608</v>
      </c>
      <c r="C1698" s="11">
        <f xml:space="preserve">      4000</f>
        <v>4000</v>
      </c>
      <c r="D1698" s="11"/>
      <c r="E1698" s="17"/>
      <c r="F1698" s="12"/>
      <c r="G1698" s="8">
        <f t="shared" si="26"/>
        <v>0</v>
      </c>
      <c r="H1698" s="1"/>
    </row>
    <row r="1699" spans="1:8" ht="15.75" customHeight="1">
      <c r="A1699" s="6">
        <v>1695</v>
      </c>
      <c r="B1699" s="11" t="s">
        <v>1609</v>
      </c>
      <c r="C1699" s="11">
        <f xml:space="preserve">      5950</f>
        <v>5950</v>
      </c>
      <c r="D1699" s="11"/>
      <c r="E1699" s="17"/>
      <c r="F1699" s="12"/>
      <c r="G1699" s="8">
        <f t="shared" si="26"/>
        <v>0</v>
      </c>
      <c r="H1699" s="1"/>
    </row>
    <row r="1700" spans="1:8" ht="15.75" customHeight="1">
      <c r="A1700" s="6">
        <v>1696</v>
      </c>
      <c r="B1700" s="11" t="s">
        <v>1610</v>
      </c>
      <c r="C1700" s="11">
        <f xml:space="preserve">      4200</f>
        <v>4200</v>
      </c>
      <c r="D1700" s="11"/>
      <c r="E1700" s="17"/>
      <c r="F1700" s="12"/>
      <c r="G1700" s="8">
        <f t="shared" si="26"/>
        <v>0</v>
      </c>
      <c r="H1700" s="1"/>
    </row>
    <row r="1701" spans="1:8" ht="15.75" customHeight="1">
      <c r="A1701" s="6">
        <v>1697</v>
      </c>
      <c r="B1701" s="11" t="s">
        <v>1611</v>
      </c>
      <c r="C1701" s="11">
        <f xml:space="preserve">       800</f>
        <v>800</v>
      </c>
      <c r="D1701" s="11"/>
      <c r="E1701" s="17"/>
      <c r="F1701" s="12"/>
      <c r="G1701" s="8">
        <f t="shared" si="26"/>
        <v>0</v>
      </c>
      <c r="H1701" s="1"/>
    </row>
    <row r="1702" spans="1:8" ht="15.75" customHeight="1">
      <c r="A1702" s="6">
        <v>1698</v>
      </c>
      <c r="B1702" s="11" t="s">
        <v>1612</v>
      </c>
      <c r="C1702" s="11">
        <f xml:space="preserve">     32100</f>
        <v>32100</v>
      </c>
      <c r="D1702" s="11"/>
      <c r="E1702" s="17"/>
      <c r="F1702" s="12"/>
      <c r="G1702" s="8">
        <f t="shared" si="26"/>
        <v>0</v>
      </c>
      <c r="H1702" s="1"/>
    </row>
    <row r="1703" spans="1:8" ht="15.75" customHeight="1">
      <c r="A1703" s="6">
        <v>1699</v>
      </c>
      <c r="B1703" s="11" t="s">
        <v>1613</v>
      </c>
      <c r="C1703" s="11">
        <f xml:space="preserve">     26500</f>
        <v>26500</v>
      </c>
      <c r="D1703" s="11"/>
      <c r="E1703" s="17"/>
      <c r="F1703" s="12"/>
      <c r="G1703" s="8">
        <f t="shared" si="26"/>
        <v>0</v>
      </c>
      <c r="H1703" s="1"/>
    </row>
    <row r="1704" spans="1:8" ht="15.75" customHeight="1">
      <c r="A1704" s="6">
        <v>1700</v>
      </c>
      <c r="B1704" s="11" t="s">
        <v>1614</v>
      </c>
      <c r="C1704" s="11">
        <f xml:space="preserve">     55100</f>
        <v>55100</v>
      </c>
      <c r="D1704" s="11"/>
      <c r="E1704" s="17"/>
      <c r="F1704" s="12"/>
      <c r="G1704" s="8">
        <f t="shared" si="26"/>
        <v>0</v>
      </c>
      <c r="H1704" s="1"/>
    </row>
    <row r="1705" spans="1:8" ht="15.75" customHeight="1">
      <c r="A1705" s="6">
        <v>1701</v>
      </c>
      <c r="B1705" s="11" t="s">
        <v>1615</v>
      </c>
      <c r="C1705" s="11">
        <f xml:space="preserve">     31550</f>
        <v>31550</v>
      </c>
      <c r="D1705" s="11"/>
      <c r="E1705" s="17"/>
      <c r="F1705" s="12"/>
      <c r="G1705" s="8">
        <f t="shared" si="26"/>
        <v>0</v>
      </c>
      <c r="H1705" s="1"/>
    </row>
    <row r="1706" spans="1:8" ht="15.75" customHeight="1">
      <c r="A1706" s="6">
        <v>1702</v>
      </c>
      <c r="B1706" s="11" t="s">
        <v>1616</v>
      </c>
      <c r="C1706" s="11">
        <f xml:space="preserve">     21950</f>
        <v>21950</v>
      </c>
      <c r="D1706" s="11"/>
      <c r="E1706" s="17"/>
      <c r="F1706" s="12"/>
      <c r="G1706" s="8">
        <f t="shared" si="26"/>
        <v>0</v>
      </c>
      <c r="H1706" s="1"/>
    </row>
    <row r="1707" spans="1:8" ht="15.75" customHeight="1">
      <c r="A1707" s="6">
        <v>1703</v>
      </c>
      <c r="B1707" s="11" t="s">
        <v>1617</v>
      </c>
      <c r="C1707" s="11">
        <f xml:space="preserve">     48200</f>
        <v>48200</v>
      </c>
      <c r="D1707" s="11"/>
      <c r="E1707" s="17"/>
      <c r="F1707" s="12"/>
      <c r="G1707" s="8">
        <f t="shared" si="26"/>
        <v>0</v>
      </c>
      <c r="H1707" s="1"/>
    </row>
    <row r="1708" spans="1:8" ht="15.75" customHeight="1">
      <c r="A1708" s="6">
        <v>1704</v>
      </c>
      <c r="B1708" s="11" t="s">
        <v>1618</v>
      </c>
      <c r="C1708" s="11">
        <f xml:space="preserve">       945</f>
        <v>945</v>
      </c>
      <c r="D1708" s="11"/>
      <c r="E1708" s="17"/>
      <c r="F1708" s="12"/>
      <c r="G1708" s="8">
        <f t="shared" si="26"/>
        <v>0</v>
      </c>
      <c r="H1708" s="1"/>
    </row>
    <row r="1709" spans="1:8" ht="15.75" customHeight="1">
      <c r="A1709" s="6">
        <v>1705</v>
      </c>
      <c r="B1709" s="11" t="s">
        <v>1618</v>
      </c>
      <c r="C1709" s="11">
        <f xml:space="preserve">       950</f>
        <v>950</v>
      </c>
      <c r="D1709" s="11"/>
      <c r="E1709" s="17"/>
      <c r="F1709" s="12"/>
      <c r="G1709" s="8">
        <f t="shared" si="26"/>
        <v>0</v>
      </c>
      <c r="H1709" s="1"/>
    </row>
    <row r="1710" spans="1:8" ht="15.75" customHeight="1">
      <c r="A1710" s="6">
        <v>1706</v>
      </c>
      <c r="B1710" s="11" t="s">
        <v>1619</v>
      </c>
      <c r="C1710" s="11">
        <f xml:space="preserve">       900</f>
        <v>900</v>
      </c>
      <c r="D1710" s="11"/>
      <c r="E1710" s="17"/>
      <c r="F1710" s="12"/>
      <c r="G1710" s="8">
        <f t="shared" si="26"/>
        <v>0</v>
      </c>
      <c r="H1710" s="1"/>
    </row>
    <row r="1711" spans="1:8" ht="15.75" customHeight="1">
      <c r="A1711" s="6">
        <v>1707</v>
      </c>
      <c r="B1711" s="11" t="s">
        <v>1620</v>
      </c>
      <c r="C1711" s="11">
        <f xml:space="preserve">     41400</f>
        <v>41400</v>
      </c>
      <c r="D1711" s="11"/>
      <c r="E1711" s="17"/>
      <c r="F1711" s="12"/>
      <c r="G1711" s="8">
        <f t="shared" si="26"/>
        <v>0</v>
      </c>
      <c r="H1711" s="1"/>
    </row>
    <row r="1712" spans="1:8" ht="15.75" customHeight="1">
      <c r="A1712" s="6">
        <v>1708</v>
      </c>
      <c r="B1712" s="11" t="s">
        <v>1621</v>
      </c>
      <c r="C1712" s="11">
        <f xml:space="preserve">      3700</f>
        <v>3700</v>
      </c>
      <c r="D1712" s="11"/>
      <c r="E1712" s="17"/>
      <c r="F1712" s="12"/>
      <c r="G1712" s="8">
        <f t="shared" si="26"/>
        <v>0</v>
      </c>
      <c r="H1712" s="1"/>
    </row>
    <row r="1713" spans="1:8" ht="15.75" customHeight="1">
      <c r="A1713" s="6">
        <v>1709</v>
      </c>
      <c r="B1713" s="11" t="s">
        <v>1622</v>
      </c>
      <c r="C1713" s="11">
        <f xml:space="preserve">      1925</f>
        <v>1925</v>
      </c>
      <c r="D1713" s="11"/>
      <c r="E1713" s="17"/>
      <c r="F1713" s="12"/>
      <c r="G1713" s="8">
        <f t="shared" si="26"/>
        <v>0</v>
      </c>
      <c r="H1713" s="1"/>
    </row>
    <row r="1714" spans="1:8" ht="15.75" customHeight="1">
      <c r="A1714" s="6">
        <v>1710</v>
      </c>
      <c r="B1714" s="11" t="s">
        <v>1623</v>
      </c>
      <c r="C1714" s="11">
        <f xml:space="preserve">      1950</f>
        <v>1950</v>
      </c>
      <c r="D1714" s="11"/>
      <c r="E1714" s="17"/>
      <c r="F1714" s="12"/>
      <c r="G1714" s="8">
        <f t="shared" si="26"/>
        <v>0</v>
      </c>
      <c r="H1714" s="1"/>
    </row>
    <row r="1715" spans="1:8" ht="15.75" customHeight="1">
      <c r="A1715" s="6">
        <v>1711</v>
      </c>
      <c r="B1715" s="11" t="s">
        <v>1623</v>
      </c>
      <c r="C1715" s="11">
        <f xml:space="preserve">      1900</f>
        <v>1900</v>
      </c>
      <c r="D1715" s="11"/>
      <c r="E1715" s="17"/>
      <c r="F1715" s="12"/>
      <c r="G1715" s="8">
        <f t="shared" si="26"/>
        <v>0</v>
      </c>
      <c r="H1715" s="1"/>
    </row>
    <row r="1716" spans="1:8" ht="15.75" customHeight="1">
      <c r="A1716" s="6">
        <v>1712</v>
      </c>
      <c r="B1716" s="11" t="s">
        <v>1624</v>
      </c>
      <c r="C1716" s="11">
        <f xml:space="preserve">      2000</f>
        <v>2000</v>
      </c>
      <c r="D1716" s="11"/>
      <c r="E1716" s="17"/>
      <c r="F1716" s="12"/>
      <c r="G1716" s="8">
        <f t="shared" si="26"/>
        <v>0</v>
      </c>
      <c r="H1716" s="1"/>
    </row>
    <row r="1717" spans="1:8" ht="15.75" customHeight="1">
      <c r="A1717" s="6">
        <v>1713</v>
      </c>
      <c r="B1717" s="11" t="s">
        <v>1625</v>
      </c>
      <c r="C1717" s="11">
        <f xml:space="preserve">     62000</f>
        <v>62000</v>
      </c>
      <c r="D1717" s="11"/>
      <c r="E1717" s="17"/>
      <c r="F1717" s="12"/>
      <c r="G1717" s="8">
        <f t="shared" si="26"/>
        <v>0</v>
      </c>
      <c r="H1717" s="1"/>
    </row>
    <row r="1718" spans="1:8" ht="15.75" customHeight="1">
      <c r="A1718" s="6">
        <v>1714</v>
      </c>
      <c r="B1718" s="11" t="s">
        <v>1626</v>
      </c>
      <c r="C1718" s="11">
        <f xml:space="preserve">      2350</f>
        <v>2350</v>
      </c>
      <c r="D1718" s="11"/>
      <c r="E1718" s="17"/>
      <c r="F1718" s="12"/>
      <c r="G1718" s="8">
        <f t="shared" si="26"/>
        <v>0</v>
      </c>
      <c r="H1718" s="1"/>
    </row>
    <row r="1719" spans="1:8" ht="15.75" customHeight="1">
      <c r="A1719" s="6">
        <v>1715</v>
      </c>
      <c r="B1719" s="11" t="s">
        <v>1627</v>
      </c>
      <c r="C1719" s="11">
        <f xml:space="preserve">    142500</f>
        <v>142500</v>
      </c>
      <c r="D1719" s="11"/>
      <c r="E1719" s="17"/>
      <c r="F1719" s="12"/>
      <c r="G1719" s="8">
        <f t="shared" si="26"/>
        <v>0</v>
      </c>
      <c r="H1719" s="1"/>
    </row>
    <row r="1720" spans="1:8" ht="15.75" customHeight="1">
      <c r="A1720" s="6">
        <v>1716</v>
      </c>
      <c r="B1720" s="11" t="s">
        <v>1628</v>
      </c>
      <c r="C1720" s="11">
        <f xml:space="preserve">     11750</f>
        <v>11750</v>
      </c>
      <c r="D1720" s="11"/>
      <c r="E1720" s="17"/>
      <c r="F1720" s="12"/>
      <c r="G1720" s="8">
        <f t="shared" si="26"/>
        <v>0</v>
      </c>
      <c r="H1720" s="1"/>
    </row>
    <row r="1721" spans="1:8" ht="15.75" customHeight="1">
      <c r="A1721" s="6">
        <v>1717</v>
      </c>
      <c r="B1721" s="11" t="s">
        <v>1629</v>
      </c>
      <c r="C1721" s="11">
        <f xml:space="preserve">     18000</f>
        <v>18000</v>
      </c>
      <c r="D1721" s="11"/>
      <c r="E1721" s="17"/>
      <c r="F1721" s="12"/>
      <c r="G1721" s="8">
        <f t="shared" si="26"/>
        <v>0</v>
      </c>
      <c r="H1721" s="1"/>
    </row>
    <row r="1722" spans="1:8" ht="15.75" customHeight="1">
      <c r="A1722" s="6">
        <v>1718</v>
      </c>
      <c r="B1722" s="11" t="s">
        <v>1630</v>
      </c>
      <c r="C1722" s="11">
        <f xml:space="preserve">     18400</f>
        <v>18400</v>
      </c>
      <c r="D1722" s="11"/>
      <c r="E1722" s="17"/>
      <c r="F1722" s="12"/>
      <c r="G1722" s="8">
        <f t="shared" si="26"/>
        <v>0</v>
      </c>
      <c r="H1722" s="1"/>
    </row>
    <row r="1723" spans="1:8" ht="15.75" customHeight="1">
      <c r="A1723" s="6">
        <v>1719</v>
      </c>
      <c r="B1723" s="11" t="s">
        <v>1631</v>
      </c>
      <c r="C1723" s="11">
        <f xml:space="preserve">     18500</f>
        <v>18500</v>
      </c>
      <c r="D1723" s="11"/>
      <c r="E1723" s="17"/>
      <c r="F1723" s="12"/>
      <c r="G1723" s="8">
        <f t="shared" si="26"/>
        <v>0</v>
      </c>
      <c r="H1723" s="1"/>
    </row>
    <row r="1724" spans="1:8" ht="15.75" customHeight="1">
      <c r="A1724" s="6">
        <v>1720</v>
      </c>
      <c r="B1724" s="11" t="s">
        <v>1632</v>
      </c>
      <c r="C1724" s="11">
        <f xml:space="preserve">     28650</f>
        <v>28650</v>
      </c>
      <c r="D1724" s="11"/>
      <c r="E1724" s="17"/>
      <c r="F1724" s="12"/>
      <c r="G1724" s="8">
        <f t="shared" si="26"/>
        <v>0</v>
      </c>
      <c r="H1724" s="1"/>
    </row>
    <row r="1725" spans="1:8" ht="15.75" customHeight="1">
      <c r="A1725" s="6">
        <v>1721</v>
      </c>
      <c r="B1725" s="11" t="s">
        <v>1633</v>
      </c>
      <c r="C1725" s="11">
        <f xml:space="preserve">     37750</f>
        <v>37750</v>
      </c>
      <c r="D1725" s="11"/>
      <c r="E1725" s="17"/>
      <c r="F1725" s="12"/>
      <c r="G1725" s="8">
        <f t="shared" si="26"/>
        <v>0</v>
      </c>
      <c r="H1725" s="1"/>
    </row>
    <row r="1726" spans="1:8" ht="15.75" customHeight="1">
      <c r="A1726" s="6">
        <v>1722</v>
      </c>
      <c r="B1726" s="11" t="s">
        <v>1634</v>
      </c>
      <c r="C1726" s="11">
        <f xml:space="preserve">     28800</f>
        <v>28800</v>
      </c>
      <c r="D1726" s="11"/>
      <c r="E1726" s="17"/>
      <c r="F1726" s="12"/>
      <c r="G1726" s="8">
        <f t="shared" si="26"/>
        <v>0</v>
      </c>
      <c r="H1726" s="1"/>
    </row>
    <row r="1727" spans="1:8" ht="15.75" customHeight="1">
      <c r="A1727" s="6">
        <v>1723</v>
      </c>
      <c r="B1727" s="11" t="s">
        <v>1635</v>
      </c>
      <c r="C1727" s="11">
        <f xml:space="preserve">     19400</f>
        <v>19400</v>
      </c>
      <c r="D1727" s="11"/>
      <c r="E1727" s="17"/>
      <c r="F1727" s="12"/>
      <c r="G1727" s="8">
        <f t="shared" si="26"/>
        <v>0</v>
      </c>
      <c r="H1727" s="1"/>
    </row>
    <row r="1728" spans="1:8" ht="15.75" customHeight="1">
      <c r="A1728" s="6">
        <v>1724</v>
      </c>
      <c r="B1728" s="11" t="s">
        <v>1636</v>
      </c>
      <c r="C1728" s="11">
        <f xml:space="preserve">     11750</f>
        <v>11750</v>
      </c>
      <c r="D1728" s="11"/>
      <c r="E1728" s="17"/>
      <c r="F1728" s="12"/>
      <c r="G1728" s="8">
        <f t="shared" si="26"/>
        <v>0</v>
      </c>
      <c r="H1728" s="1"/>
    </row>
    <row r="1729" spans="1:8" ht="15.75" customHeight="1">
      <c r="A1729" s="6">
        <v>1725</v>
      </c>
      <c r="B1729" s="11" t="s">
        <v>1637</v>
      </c>
      <c r="C1729" s="11">
        <f xml:space="preserve">     37200</f>
        <v>37200</v>
      </c>
      <c r="D1729" s="11"/>
      <c r="E1729" s="17"/>
      <c r="F1729" s="12"/>
      <c r="G1729" s="8">
        <f t="shared" ref="G1729:G1792" si="27">C1729*D1729+E1729*F1729</f>
        <v>0</v>
      </c>
      <c r="H1729" s="1"/>
    </row>
    <row r="1730" spans="1:8" ht="15.75" customHeight="1">
      <c r="A1730" s="6">
        <v>1726</v>
      </c>
      <c r="B1730" s="11" t="s">
        <v>1638</v>
      </c>
      <c r="C1730" s="11">
        <f xml:space="preserve">       600</f>
        <v>600</v>
      </c>
      <c r="D1730" s="11"/>
      <c r="E1730" s="17"/>
      <c r="F1730" s="12"/>
      <c r="G1730" s="8">
        <f t="shared" si="27"/>
        <v>0</v>
      </c>
      <c r="H1730" s="1"/>
    </row>
    <row r="1731" spans="1:8" ht="15.75" customHeight="1">
      <c r="A1731" s="6">
        <v>1727</v>
      </c>
      <c r="B1731" s="11" t="s">
        <v>1639</v>
      </c>
      <c r="C1731" s="11">
        <f xml:space="preserve">     23450</f>
        <v>23450</v>
      </c>
      <c r="D1731" s="11"/>
      <c r="E1731" s="17"/>
      <c r="F1731" s="12"/>
      <c r="G1731" s="8">
        <f t="shared" si="27"/>
        <v>0</v>
      </c>
      <c r="H1731" s="1"/>
    </row>
    <row r="1732" spans="1:8" ht="15.75" customHeight="1">
      <c r="A1732" s="6">
        <v>1728</v>
      </c>
      <c r="B1732" s="11" t="s">
        <v>1640</v>
      </c>
      <c r="C1732" s="11">
        <f xml:space="preserve">      5150</f>
        <v>5150</v>
      </c>
      <c r="D1732" s="11"/>
      <c r="E1732" s="17"/>
      <c r="F1732" s="12"/>
      <c r="G1732" s="8">
        <f t="shared" si="27"/>
        <v>0</v>
      </c>
      <c r="H1732" s="1"/>
    </row>
    <row r="1733" spans="1:8" ht="15.75" customHeight="1">
      <c r="A1733" s="6">
        <v>1729</v>
      </c>
      <c r="B1733" s="11" t="s">
        <v>1641</v>
      </c>
      <c r="C1733" s="11">
        <f xml:space="preserve">     11750</f>
        <v>11750</v>
      </c>
      <c r="D1733" s="11"/>
      <c r="E1733" s="17"/>
      <c r="F1733" s="12"/>
      <c r="G1733" s="8">
        <f t="shared" si="27"/>
        <v>0</v>
      </c>
      <c r="H1733" s="1"/>
    </row>
    <row r="1734" spans="1:8" ht="15.75" customHeight="1">
      <c r="A1734" s="6">
        <v>1730</v>
      </c>
      <c r="B1734" s="11" t="s">
        <v>1642</v>
      </c>
      <c r="C1734" s="11">
        <f xml:space="preserve">      3450</f>
        <v>3450</v>
      </c>
      <c r="D1734" s="11"/>
      <c r="E1734" s="17"/>
      <c r="F1734" s="12"/>
      <c r="G1734" s="8">
        <f t="shared" si="27"/>
        <v>0</v>
      </c>
      <c r="H1734" s="1"/>
    </row>
    <row r="1735" spans="1:8" ht="15.75" customHeight="1">
      <c r="A1735" s="6">
        <v>1731</v>
      </c>
      <c r="B1735" s="11" t="s">
        <v>1643</v>
      </c>
      <c r="C1735" s="11">
        <f xml:space="preserve">     30700</f>
        <v>30700</v>
      </c>
      <c r="D1735" s="11"/>
      <c r="E1735" s="17"/>
      <c r="F1735" s="12"/>
      <c r="G1735" s="8">
        <f t="shared" si="27"/>
        <v>0</v>
      </c>
      <c r="H1735" s="1"/>
    </row>
    <row r="1736" spans="1:8" ht="15.75" customHeight="1">
      <c r="A1736" s="6">
        <v>1732</v>
      </c>
      <c r="B1736" s="11" t="s">
        <v>1644</v>
      </c>
      <c r="C1736" s="11">
        <f xml:space="preserve">    186050</f>
        <v>186050</v>
      </c>
      <c r="D1736" s="11"/>
      <c r="E1736" s="17"/>
      <c r="F1736" s="12"/>
      <c r="G1736" s="8">
        <f t="shared" si="27"/>
        <v>0</v>
      </c>
      <c r="H1736" s="1"/>
    </row>
    <row r="1737" spans="1:8" ht="15.75" customHeight="1">
      <c r="A1737" s="6">
        <v>1733</v>
      </c>
      <c r="B1737" s="11" t="s">
        <v>1645</v>
      </c>
      <c r="C1737" s="11">
        <f xml:space="preserve">     80100</f>
        <v>80100</v>
      </c>
      <c r="D1737" s="11"/>
      <c r="E1737" s="17"/>
      <c r="F1737" s="12"/>
      <c r="G1737" s="8">
        <f t="shared" si="27"/>
        <v>0</v>
      </c>
      <c r="H1737" s="1"/>
    </row>
    <row r="1738" spans="1:8" ht="15.75" customHeight="1">
      <c r="A1738" s="6">
        <v>1734</v>
      </c>
      <c r="B1738" s="11" t="s">
        <v>1646</v>
      </c>
      <c r="C1738" s="11">
        <f xml:space="preserve">     49000</f>
        <v>49000</v>
      </c>
      <c r="D1738" s="11"/>
      <c r="E1738" s="17"/>
      <c r="F1738" s="12"/>
      <c r="G1738" s="8">
        <f t="shared" si="27"/>
        <v>0</v>
      </c>
      <c r="H1738" s="1"/>
    </row>
    <row r="1739" spans="1:8" ht="15.75" customHeight="1">
      <c r="A1739" s="6">
        <v>1735</v>
      </c>
      <c r="B1739" s="11" t="s">
        <v>1647</v>
      </c>
      <c r="C1739" s="11">
        <f xml:space="preserve">     93750</f>
        <v>93750</v>
      </c>
      <c r="D1739" s="11"/>
      <c r="E1739" s="17"/>
      <c r="F1739" s="12"/>
      <c r="G1739" s="8">
        <f t="shared" si="27"/>
        <v>0</v>
      </c>
      <c r="H1739" s="1"/>
    </row>
    <row r="1740" spans="1:8" ht="15.75" customHeight="1">
      <c r="A1740" s="6">
        <v>1736</v>
      </c>
      <c r="B1740" s="11" t="s">
        <v>1648</v>
      </c>
      <c r="C1740" s="11">
        <f xml:space="preserve">    226500</f>
        <v>226500</v>
      </c>
      <c r="D1740" s="11"/>
      <c r="E1740" s="17"/>
      <c r="F1740" s="12"/>
      <c r="G1740" s="8">
        <f t="shared" si="27"/>
        <v>0</v>
      </c>
      <c r="H1740" s="1"/>
    </row>
    <row r="1741" spans="1:8" ht="15.75" customHeight="1">
      <c r="A1741" s="6">
        <v>1737</v>
      </c>
      <c r="B1741" s="11" t="s">
        <v>1649</v>
      </c>
      <c r="C1741" s="11">
        <f xml:space="preserve">    166600</f>
        <v>166600</v>
      </c>
      <c r="D1741" s="11"/>
      <c r="E1741" s="17"/>
      <c r="F1741" s="12"/>
      <c r="G1741" s="8">
        <f t="shared" si="27"/>
        <v>0</v>
      </c>
      <c r="H1741" s="1"/>
    </row>
    <row r="1742" spans="1:8" ht="15.75" customHeight="1">
      <c r="A1742" s="6">
        <v>1738</v>
      </c>
      <c r="B1742" s="11" t="s">
        <v>1650</v>
      </c>
      <c r="C1742" s="11">
        <f xml:space="preserve">    148000</f>
        <v>148000</v>
      </c>
      <c r="D1742" s="11"/>
      <c r="E1742" s="17"/>
      <c r="F1742" s="12"/>
      <c r="G1742" s="8">
        <f t="shared" si="27"/>
        <v>0</v>
      </c>
      <c r="H1742" s="1"/>
    </row>
    <row r="1743" spans="1:8" ht="15.75" customHeight="1">
      <c r="A1743" s="6">
        <v>1739</v>
      </c>
      <c r="B1743" s="11" t="s">
        <v>1651</v>
      </c>
      <c r="C1743" s="11">
        <f xml:space="preserve">     22350</f>
        <v>22350</v>
      </c>
      <c r="D1743" s="11"/>
      <c r="E1743" s="17"/>
      <c r="F1743" s="12"/>
      <c r="G1743" s="8">
        <f t="shared" si="27"/>
        <v>0</v>
      </c>
      <c r="H1743" s="1"/>
    </row>
    <row r="1744" spans="1:8" ht="15.75" customHeight="1">
      <c r="A1744" s="6">
        <v>1740</v>
      </c>
      <c r="B1744" s="11" t="s">
        <v>1652</v>
      </c>
      <c r="C1744" s="11">
        <f xml:space="preserve">     65500</f>
        <v>65500</v>
      </c>
      <c r="D1744" s="11"/>
      <c r="E1744" s="17"/>
      <c r="F1744" s="12"/>
      <c r="G1744" s="8">
        <f t="shared" si="27"/>
        <v>0</v>
      </c>
      <c r="H1744" s="1"/>
    </row>
    <row r="1745" spans="1:8" ht="15.75" customHeight="1">
      <c r="A1745" s="6">
        <v>1741</v>
      </c>
      <c r="B1745" s="11" t="s">
        <v>1653</v>
      </c>
      <c r="C1745" s="11">
        <f xml:space="preserve">     48000</f>
        <v>48000</v>
      </c>
      <c r="D1745" s="11"/>
      <c r="E1745" s="17"/>
      <c r="F1745" s="12"/>
      <c r="G1745" s="8">
        <f t="shared" si="27"/>
        <v>0</v>
      </c>
      <c r="H1745" s="1"/>
    </row>
    <row r="1746" spans="1:8" ht="15.75" customHeight="1">
      <c r="A1746" s="6">
        <v>1742</v>
      </c>
      <c r="B1746" s="11" t="s">
        <v>1654</v>
      </c>
      <c r="C1746" s="11">
        <f xml:space="preserve">     49100</f>
        <v>49100</v>
      </c>
      <c r="D1746" s="11"/>
      <c r="E1746" s="17"/>
      <c r="F1746" s="12"/>
      <c r="G1746" s="8">
        <f t="shared" si="27"/>
        <v>0</v>
      </c>
      <c r="H1746" s="1"/>
    </row>
    <row r="1747" spans="1:8" ht="15.75" customHeight="1">
      <c r="A1747" s="6">
        <v>1743</v>
      </c>
      <c r="B1747" s="11" t="s">
        <v>1655</v>
      </c>
      <c r="C1747" s="11">
        <f xml:space="preserve">     48000</f>
        <v>48000</v>
      </c>
      <c r="D1747" s="11"/>
      <c r="E1747" s="17"/>
      <c r="F1747" s="12"/>
      <c r="G1747" s="8">
        <f t="shared" si="27"/>
        <v>0</v>
      </c>
      <c r="H1747" s="1"/>
    </row>
    <row r="1748" spans="1:8" ht="15.75" customHeight="1">
      <c r="A1748" s="6">
        <v>1744</v>
      </c>
      <c r="B1748" s="11" t="s">
        <v>1656</v>
      </c>
      <c r="C1748" s="11">
        <f xml:space="preserve">     47900</f>
        <v>47900</v>
      </c>
      <c r="D1748" s="11"/>
      <c r="E1748" s="17"/>
      <c r="F1748" s="12"/>
      <c r="G1748" s="8">
        <f t="shared" si="27"/>
        <v>0</v>
      </c>
      <c r="H1748" s="1"/>
    </row>
    <row r="1749" spans="1:8" ht="15.75" customHeight="1">
      <c r="A1749" s="6">
        <v>1745</v>
      </c>
      <c r="B1749" s="11" t="s">
        <v>1657</v>
      </c>
      <c r="C1749" s="11">
        <f xml:space="preserve">     48000</f>
        <v>48000</v>
      </c>
      <c r="D1749" s="11"/>
      <c r="E1749" s="17"/>
      <c r="F1749" s="12"/>
      <c r="G1749" s="8">
        <f t="shared" si="27"/>
        <v>0</v>
      </c>
      <c r="H1749" s="1"/>
    </row>
    <row r="1750" spans="1:8" ht="15.75" customHeight="1">
      <c r="A1750" s="6">
        <v>1746</v>
      </c>
      <c r="B1750" s="11" t="s">
        <v>1658</v>
      </c>
      <c r="C1750" s="11">
        <f xml:space="preserve">     48000</f>
        <v>48000</v>
      </c>
      <c r="D1750" s="11"/>
      <c r="E1750" s="17"/>
      <c r="F1750" s="12"/>
      <c r="G1750" s="8">
        <f t="shared" si="27"/>
        <v>0</v>
      </c>
      <c r="H1750" s="1"/>
    </row>
    <row r="1751" spans="1:8" ht="15.75" customHeight="1">
      <c r="A1751" s="6">
        <v>1747</v>
      </c>
      <c r="B1751" s="11" t="s">
        <v>1659</v>
      </c>
      <c r="C1751" s="11">
        <f xml:space="preserve">     48000</f>
        <v>48000</v>
      </c>
      <c r="D1751" s="11"/>
      <c r="E1751" s="17"/>
      <c r="F1751" s="12"/>
      <c r="G1751" s="8">
        <f t="shared" si="27"/>
        <v>0</v>
      </c>
      <c r="H1751" s="1"/>
    </row>
    <row r="1752" spans="1:8" ht="15.75" customHeight="1">
      <c r="A1752" s="6">
        <v>1748</v>
      </c>
      <c r="B1752" s="11" t="s">
        <v>1660</v>
      </c>
      <c r="C1752" s="11">
        <f xml:space="preserve">     48000</f>
        <v>48000</v>
      </c>
      <c r="D1752" s="11"/>
      <c r="E1752" s="17"/>
      <c r="F1752" s="12"/>
      <c r="G1752" s="8">
        <f t="shared" si="27"/>
        <v>0</v>
      </c>
      <c r="H1752" s="1"/>
    </row>
    <row r="1753" spans="1:8" ht="15.75" customHeight="1">
      <c r="A1753" s="6">
        <v>1749</v>
      </c>
      <c r="B1753" s="11" t="s">
        <v>1661</v>
      </c>
      <c r="C1753" s="11">
        <f xml:space="preserve">     34250</f>
        <v>34250</v>
      </c>
      <c r="D1753" s="11"/>
      <c r="E1753" s="17"/>
      <c r="F1753" s="12"/>
      <c r="G1753" s="8">
        <f t="shared" si="27"/>
        <v>0</v>
      </c>
      <c r="H1753" s="1"/>
    </row>
    <row r="1754" spans="1:8" ht="15.75" customHeight="1">
      <c r="A1754" s="6">
        <v>1750</v>
      </c>
      <c r="B1754" s="11" t="s">
        <v>1662</v>
      </c>
      <c r="C1754" s="11">
        <f xml:space="preserve">     72850</f>
        <v>72850</v>
      </c>
      <c r="D1754" s="11"/>
      <c r="E1754" s="17"/>
      <c r="F1754" s="12"/>
      <c r="G1754" s="8">
        <f t="shared" si="27"/>
        <v>0</v>
      </c>
      <c r="H1754" s="1"/>
    </row>
    <row r="1755" spans="1:8" ht="15.75" customHeight="1">
      <c r="A1755" s="6">
        <v>1751</v>
      </c>
      <c r="B1755" s="11" t="s">
        <v>1663</v>
      </c>
      <c r="C1755" s="11">
        <f xml:space="preserve">     61000</f>
        <v>61000</v>
      </c>
      <c r="D1755" s="11"/>
      <c r="E1755" s="17"/>
      <c r="F1755" s="12"/>
      <c r="G1755" s="8">
        <f t="shared" si="27"/>
        <v>0</v>
      </c>
      <c r="H1755" s="1"/>
    </row>
    <row r="1756" spans="1:8" ht="15.75" customHeight="1">
      <c r="A1756" s="6">
        <v>1752</v>
      </c>
      <c r="B1756" s="11" t="s">
        <v>1664</v>
      </c>
      <c r="C1756" s="11">
        <f xml:space="preserve">     29200</f>
        <v>29200</v>
      </c>
      <c r="D1756" s="11"/>
      <c r="E1756" s="17"/>
      <c r="F1756" s="12"/>
      <c r="G1756" s="8">
        <f t="shared" si="27"/>
        <v>0</v>
      </c>
      <c r="H1756" s="1"/>
    </row>
    <row r="1757" spans="1:8" ht="15.75" customHeight="1">
      <c r="A1757" s="6">
        <v>1753</v>
      </c>
      <c r="B1757" s="11" t="s">
        <v>1665</v>
      </c>
      <c r="C1757" s="11">
        <f xml:space="preserve">      3800</f>
        <v>3800</v>
      </c>
      <c r="D1757" s="11"/>
      <c r="E1757" s="17"/>
      <c r="F1757" s="12"/>
      <c r="G1757" s="8">
        <f t="shared" si="27"/>
        <v>0</v>
      </c>
      <c r="H1757" s="1"/>
    </row>
    <row r="1758" spans="1:8" ht="15.75" customHeight="1">
      <c r="A1758" s="6">
        <v>1754</v>
      </c>
      <c r="B1758" s="11" t="s">
        <v>1666</v>
      </c>
      <c r="C1758" s="11">
        <f xml:space="preserve">     12500</f>
        <v>12500</v>
      </c>
      <c r="D1758" s="11"/>
      <c r="E1758" s="17"/>
      <c r="F1758" s="12"/>
      <c r="G1758" s="8">
        <f t="shared" si="27"/>
        <v>0</v>
      </c>
      <c r="H1758" s="1"/>
    </row>
    <row r="1759" spans="1:8" ht="15.75" customHeight="1">
      <c r="A1759" s="6">
        <v>1755</v>
      </c>
      <c r="B1759" s="11" t="s">
        <v>1667</v>
      </c>
      <c r="C1759" s="11">
        <f xml:space="preserve">    120900</f>
        <v>120900</v>
      </c>
      <c r="D1759" s="11"/>
      <c r="E1759" s="17"/>
      <c r="F1759" s="12"/>
      <c r="G1759" s="8">
        <f t="shared" si="27"/>
        <v>0</v>
      </c>
      <c r="H1759" s="1"/>
    </row>
    <row r="1760" spans="1:8" ht="15.75" customHeight="1">
      <c r="A1760" s="6">
        <v>1756</v>
      </c>
      <c r="B1760" s="11" t="s">
        <v>1668</v>
      </c>
      <c r="C1760" s="11">
        <f xml:space="preserve">      2955</f>
        <v>2955</v>
      </c>
      <c r="D1760" s="11"/>
      <c r="E1760" s="17"/>
      <c r="F1760" s="12"/>
      <c r="G1760" s="8">
        <f t="shared" si="27"/>
        <v>0</v>
      </c>
      <c r="H1760" s="1"/>
    </row>
    <row r="1761" spans="1:8" ht="15.75" customHeight="1">
      <c r="A1761" s="6">
        <v>1757</v>
      </c>
      <c r="B1761" s="11" t="s">
        <v>2480</v>
      </c>
      <c r="C1761" s="11">
        <f xml:space="preserve">      2850</f>
        <v>2850</v>
      </c>
      <c r="D1761" s="11"/>
      <c r="E1761" s="17"/>
      <c r="F1761" s="12"/>
      <c r="G1761" s="8">
        <f t="shared" si="27"/>
        <v>0</v>
      </c>
      <c r="H1761" s="1"/>
    </row>
    <row r="1762" spans="1:8" ht="15.75" customHeight="1">
      <c r="A1762" s="6">
        <v>1758</v>
      </c>
      <c r="B1762" s="11" t="s">
        <v>1669</v>
      </c>
      <c r="C1762" s="11">
        <f xml:space="preserve">     36850</f>
        <v>36850</v>
      </c>
      <c r="D1762" s="11"/>
      <c r="E1762" s="17"/>
      <c r="F1762" s="12"/>
      <c r="G1762" s="8">
        <f t="shared" si="27"/>
        <v>0</v>
      </c>
      <c r="H1762" s="1"/>
    </row>
    <row r="1763" spans="1:8" ht="15.75" customHeight="1">
      <c r="A1763" s="6">
        <v>1759</v>
      </c>
      <c r="B1763" s="11" t="s">
        <v>1670</v>
      </c>
      <c r="C1763" s="11">
        <f xml:space="preserve">     48100</f>
        <v>48100</v>
      </c>
      <c r="D1763" s="11"/>
      <c r="E1763" s="17"/>
      <c r="F1763" s="12"/>
      <c r="G1763" s="8">
        <f t="shared" si="27"/>
        <v>0</v>
      </c>
      <c r="H1763" s="1"/>
    </row>
    <row r="1764" spans="1:8" ht="15.75" customHeight="1">
      <c r="A1764" s="6">
        <v>1760</v>
      </c>
      <c r="B1764" s="11" t="s">
        <v>1671</v>
      </c>
      <c r="C1764" s="11">
        <f xml:space="preserve">     36300</f>
        <v>36300</v>
      </c>
      <c r="D1764" s="11"/>
      <c r="E1764" s="17"/>
      <c r="F1764" s="12"/>
      <c r="G1764" s="8">
        <f t="shared" si="27"/>
        <v>0</v>
      </c>
      <c r="H1764" s="1"/>
    </row>
    <row r="1765" spans="1:8" ht="15.75" customHeight="1">
      <c r="A1765" s="6">
        <v>1761</v>
      </c>
      <c r="B1765" s="11" t="s">
        <v>1672</v>
      </c>
      <c r="C1765" s="11">
        <f xml:space="preserve">     15400</f>
        <v>15400</v>
      </c>
      <c r="D1765" s="11"/>
      <c r="E1765" s="17"/>
      <c r="F1765" s="12"/>
      <c r="G1765" s="8">
        <f t="shared" si="27"/>
        <v>0</v>
      </c>
      <c r="H1765" s="1"/>
    </row>
    <row r="1766" spans="1:8" ht="15.75" customHeight="1">
      <c r="A1766" s="6">
        <v>1762</v>
      </c>
      <c r="B1766" s="11" t="s">
        <v>1673</v>
      </c>
      <c r="C1766" s="11">
        <f xml:space="preserve">     38550</f>
        <v>38550</v>
      </c>
      <c r="D1766" s="11"/>
      <c r="E1766" s="17"/>
      <c r="F1766" s="12"/>
      <c r="G1766" s="8">
        <f t="shared" si="27"/>
        <v>0</v>
      </c>
      <c r="H1766" s="1"/>
    </row>
    <row r="1767" spans="1:8" ht="15.75" customHeight="1">
      <c r="A1767" s="6">
        <v>1763</v>
      </c>
      <c r="B1767" s="11" t="s">
        <v>1674</v>
      </c>
      <c r="C1767" s="11">
        <f xml:space="preserve">     10100</f>
        <v>10100</v>
      </c>
      <c r="D1767" s="11"/>
      <c r="E1767" s="17"/>
      <c r="F1767" s="12"/>
      <c r="G1767" s="8">
        <f t="shared" si="27"/>
        <v>0</v>
      </c>
      <c r="H1767" s="1"/>
    </row>
    <row r="1768" spans="1:8" ht="15.75" customHeight="1">
      <c r="A1768" s="6">
        <v>1764</v>
      </c>
      <c r="B1768" s="11" t="s">
        <v>2481</v>
      </c>
      <c r="C1768" s="11">
        <f xml:space="preserve">     10250</f>
        <v>10250</v>
      </c>
      <c r="D1768" s="11"/>
      <c r="E1768" s="17"/>
      <c r="F1768" s="12"/>
      <c r="G1768" s="8">
        <f t="shared" si="27"/>
        <v>0</v>
      </c>
      <c r="H1768" s="1"/>
    </row>
    <row r="1769" spans="1:8" ht="15.75" customHeight="1">
      <c r="A1769" s="6">
        <v>1765</v>
      </c>
      <c r="B1769" s="11" t="s">
        <v>1675</v>
      </c>
      <c r="C1769" s="11">
        <f xml:space="preserve">     79000</f>
        <v>79000</v>
      </c>
      <c r="D1769" s="11"/>
      <c r="E1769" s="17"/>
      <c r="F1769" s="12"/>
      <c r="G1769" s="8">
        <f t="shared" si="27"/>
        <v>0</v>
      </c>
      <c r="H1769" s="1"/>
    </row>
    <row r="1770" spans="1:8" ht="15.75" customHeight="1">
      <c r="A1770" s="6">
        <v>1766</v>
      </c>
      <c r="B1770" s="11" t="s">
        <v>1676</v>
      </c>
      <c r="C1770" s="11">
        <f xml:space="preserve">     14300</f>
        <v>14300</v>
      </c>
      <c r="D1770" s="11"/>
      <c r="E1770" s="17"/>
      <c r="F1770" s="12"/>
      <c r="G1770" s="8">
        <f t="shared" si="27"/>
        <v>0</v>
      </c>
      <c r="H1770" s="1"/>
    </row>
    <row r="1771" spans="1:8" ht="15.75" customHeight="1">
      <c r="A1771" s="6">
        <v>1767</v>
      </c>
      <c r="B1771" s="11" t="s">
        <v>1677</v>
      </c>
      <c r="C1771" s="11">
        <f xml:space="preserve">     84700</f>
        <v>84700</v>
      </c>
      <c r="D1771" s="11"/>
      <c r="E1771" s="17"/>
      <c r="F1771" s="12"/>
      <c r="G1771" s="8">
        <f t="shared" si="27"/>
        <v>0</v>
      </c>
      <c r="H1771" s="1"/>
    </row>
    <row r="1772" spans="1:8" ht="15.75" customHeight="1">
      <c r="A1772" s="6">
        <v>1768</v>
      </c>
      <c r="B1772" s="11" t="s">
        <v>1678</v>
      </c>
      <c r="C1772" s="11">
        <f xml:space="preserve">    105910</f>
        <v>105910</v>
      </c>
      <c r="D1772" s="11"/>
      <c r="E1772" s="17"/>
      <c r="F1772" s="12"/>
      <c r="G1772" s="8">
        <f t="shared" si="27"/>
        <v>0</v>
      </c>
      <c r="H1772" s="1"/>
    </row>
    <row r="1773" spans="1:8" ht="15.75" customHeight="1">
      <c r="A1773" s="6">
        <v>1769</v>
      </c>
      <c r="B1773" s="11" t="s">
        <v>1679</v>
      </c>
      <c r="C1773" s="11">
        <f xml:space="preserve">     88800</f>
        <v>88800</v>
      </c>
      <c r="D1773" s="11"/>
      <c r="E1773" s="17"/>
      <c r="F1773" s="12"/>
      <c r="G1773" s="8">
        <f t="shared" si="27"/>
        <v>0</v>
      </c>
      <c r="H1773" s="1"/>
    </row>
    <row r="1774" spans="1:8" ht="15.75" customHeight="1">
      <c r="A1774" s="6">
        <v>1770</v>
      </c>
      <c r="B1774" s="11" t="s">
        <v>1680</v>
      </c>
      <c r="C1774" s="11">
        <f xml:space="preserve">     63450</f>
        <v>63450</v>
      </c>
      <c r="D1774" s="11"/>
      <c r="E1774" s="17"/>
      <c r="F1774" s="12"/>
      <c r="G1774" s="8">
        <f t="shared" si="27"/>
        <v>0</v>
      </c>
      <c r="H1774" s="1"/>
    </row>
    <row r="1775" spans="1:8" ht="15.75" customHeight="1">
      <c r="A1775" s="6">
        <v>1771</v>
      </c>
      <c r="B1775" s="11" t="s">
        <v>1681</v>
      </c>
      <c r="C1775" s="11">
        <f xml:space="preserve">     63500</f>
        <v>63500</v>
      </c>
      <c r="D1775" s="11"/>
      <c r="E1775" s="17"/>
      <c r="F1775" s="12"/>
      <c r="G1775" s="8">
        <f t="shared" si="27"/>
        <v>0</v>
      </c>
      <c r="H1775" s="1"/>
    </row>
    <row r="1776" spans="1:8" ht="15.75" customHeight="1">
      <c r="A1776" s="6">
        <v>1772</v>
      </c>
      <c r="B1776" s="11" t="s">
        <v>1682</v>
      </c>
      <c r="C1776" s="11">
        <f xml:space="preserve">     55050</f>
        <v>55050</v>
      </c>
      <c r="D1776" s="11"/>
      <c r="E1776" s="17"/>
      <c r="F1776" s="12"/>
      <c r="G1776" s="8">
        <f t="shared" si="27"/>
        <v>0</v>
      </c>
      <c r="H1776" s="1"/>
    </row>
    <row r="1777" spans="1:8" ht="15.75" customHeight="1">
      <c r="A1777" s="6">
        <v>1773</v>
      </c>
      <c r="B1777" s="11" t="s">
        <v>1683</v>
      </c>
      <c r="C1777" s="11">
        <f xml:space="preserve">     58500</f>
        <v>58500</v>
      </c>
      <c r="D1777" s="11"/>
      <c r="E1777" s="17"/>
      <c r="F1777" s="12"/>
      <c r="G1777" s="8">
        <f t="shared" si="27"/>
        <v>0</v>
      </c>
      <c r="H1777" s="1"/>
    </row>
    <row r="1778" spans="1:8" ht="15.75" customHeight="1">
      <c r="A1778" s="6">
        <v>1774</v>
      </c>
      <c r="B1778" s="11" t="s">
        <v>1684</v>
      </c>
      <c r="C1778" s="11">
        <f xml:space="preserve">     40100</f>
        <v>40100</v>
      </c>
      <c r="D1778" s="11"/>
      <c r="E1778" s="17"/>
      <c r="F1778" s="12"/>
      <c r="G1778" s="8">
        <f t="shared" si="27"/>
        <v>0</v>
      </c>
      <c r="H1778" s="1"/>
    </row>
    <row r="1779" spans="1:8" ht="15.75" customHeight="1">
      <c r="A1779" s="6">
        <v>1775</v>
      </c>
      <c r="B1779" s="11" t="s">
        <v>1685</v>
      </c>
      <c r="C1779" s="11">
        <f xml:space="preserve">    280500</f>
        <v>280500</v>
      </c>
      <c r="D1779" s="11"/>
      <c r="E1779" s="17"/>
      <c r="F1779" s="12"/>
      <c r="G1779" s="8">
        <f t="shared" si="27"/>
        <v>0</v>
      </c>
      <c r="H1779" s="1"/>
    </row>
    <row r="1780" spans="1:8" ht="15.75" customHeight="1">
      <c r="A1780" s="6">
        <v>1776</v>
      </c>
      <c r="B1780" s="11" t="s">
        <v>1686</v>
      </c>
      <c r="C1780" s="11">
        <f xml:space="preserve">    185300</f>
        <v>185300</v>
      </c>
      <c r="D1780" s="11"/>
      <c r="E1780" s="17"/>
      <c r="F1780" s="12"/>
      <c r="G1780" s="8">
        <f t="shared" si="27"/>
        <v>0</v>
      </c>
      <c r="H1780" s="1"/>
    </row>
    <row r="1781" spans="1:8" ht="15.75" customHeight="1">
      <c r="A1781" s="6">
        <v>1777</v>
      </c>
      <c r="B1781" s="11" t="s">
        <v>1687</v>
      </c>
      <c r="C1781" s="11">
        <f xml:space="preserve">     85650</f>
        <v>85650</v>
      </c>
      <c r="D1781" s="11"/>
      <c r="E1781" s="17"/>
      <c r="F1781" s="12"/>
      <c r="G1781" s="8">
        <f t="shared" si="27"/>
        <v>0</v>
      </c>
      <c r="H1781" s="1"/>
    </row>
    <row r="1782" spans="1:8" ht="15.75" customHeight="1">
      <c r="A1782" s="6">
        <v>1778</v>
      </c>
      <c r="B1782" s="11" t="s">
        <v>1688</v>
      </c>
      <c r="C1782" s="11">
        <f xml:space="preserve">     28400</f>
        <v>28400</v>
      </c>
      <c r="D1782" s="11"/>
      <c r="E1782" s="17"/>
      <c r="F1782" s="12"/>
      <c r="G1782" s="8">
        <f t="shared" si="27"/>
        <v>0</v>
      </c>
      <c r="H1782" s="1"/>
    </row>
    <row r="1783" spans="1:8" ht="15.75" customHeight="1">
      <c r="A1783" s="6">
        <v>1779</v>
      </c>
      <c r="B1783" s="11" t="s">
        <v>1689</v>
      </c>
      <c r="C1783" s="11">
        <f xml:space="preserve">     17250</f>
        <v>17250</v>
      </c>
      <c r="D1783" s="11"/>
      <c r="E1783" s="17"/>
      <c r="F1783" s="12"/>
      <c r="G1783" s="8">
        <f t="shared" si="27"/>
        <v>0</v>
      </c>
      <c r="H1783" s="1"/>
    </row>
    <row r="1784" spans="1:8" ht="15.75" customHeight="1">
      <c r="A1784" s="6">
        <v>1780</v>
      </c>
      <c r="B1784" s="11" t="s">
        <v>1690</v>
      </c>
      <c r="C1784" s="11">
        <f xml:space="preserve">    143000</f>
        <v>143000</v>
      </c>
      <c r="D1784" s="11"/>
      <c r="E1784" s="17"/>
      <c r="F1784" s="12"/>
      <c r="G1784" s="8">
        <f t="shared" si="27"/>
        <v>0</v>
      </c>
      <c r="H1784" s="1"/>
    </row>
    <row r="1785" spans="1:8" ht="15.75" customHeight="1">
      <c r="A1785" s="6">
        <v>1781</v>
      </c>
      <c r="B1785" s="11" t="s">
        <v>1691</v>
      </c>
      <c r="C1785" s="11">
        <f xml:space="preserve">     56500</f>
        <v>56500</v>
      </c>
      <c r="D1785" s="11"/>
      <c r="E1785" s="17"/>
      <c r="F1785" s="12"/>
      <c r="G1785" s="8">
        <f t="shared" si="27"/>
        <v>0</v>
      </c>
      <c r="H1785" s="1"/>
    </row>
    <row r="1786" spans="1:8" ht="15.75" customHeight="1">
      <c r="A1786" s="6">
        <v>1782</v>
      </c>
      <c r="B1786" s="11" t="s">
        <v>1692</v>
      </c>
      <c r="C1786" s="11">
        <f xml:space="preserve">     11250</f>
        <v>11250</v>
      </c>
      <c r="D1786" s="11"/>
      <c r="E1786" s="17"/>
      <c r="F1786" s="12"/>
      <c r="G1786" s="8">
        <f t="shared" si="27"/>
        <v>0</v>
      </c>
      <c r="H1786" s="1"/>
    </row>
    <row r="1787" spans="1:8" ht="15.75" customHeight="1">
      <c r="A1787" s="6">
        <v>1783</v>
      </c>
      <c r="B1787" s="11" t="s">
        <v>1693</v>
      </c>
      <c r="C1787" s="11">
        <f xml:space="preserve">     19600</f>
        <v>19600</v>
      </c>
      <c r="D1787" s="11"/>
      <c r="E1787" s="17"/>
      <c r="F1787" s="12"/>
      <c r="G1787" s="8">
        <f t="shared" si="27"/>
        <v>0</v>
      </c>
      <c r="H1787" s="1"/>
    </row>
    <row r="1788" spans="1:8" ht="15.75" customHeight="1">
      <c r="A1788" s="6">
        <v>1784</v>
      </c>
      <c r="B1788" s="11" t="s">
        <v>1694</v>
      </c>
      <c r="C1788" s="11">
        <f xml:space="preserve">     45500</f>
        <v>45500</v>
      </c>
      <c r="D1788" s="11"/>
      <c r="E1788" s="17"/>
      <c r="F1788" s="12"/>
      <c r="G1788" s="8">
        <f t="shared" si="27"/>
        <v>0</v>
      </c>
      <c r="H1788" s="1"/>
    </row>
    <row r="1789" spans="1:8" ht="15.75" customHeight="1">
      <c r="A1789" s="6">
        <v>1785</v>
      </c>
      <c r="B1789" s="11" t="s">
        <v>1695</v>
      </c>
      <c r="C1789" s="11">
        <f xml:space="preserve">     50550</f>
        <v>50550</v>
      </c>
      <c r="D1789" s="11"/>
      <c r="E1789" s="17"/>
      <c r="F1789" s="12"/>
      <c r="G1789" s="8">
        <f t="shared" si="27"/>
        <v>0</v>
      </c>
      <c r="H1789" s="1"/>
    </row>
    <row r="1790" spans="1:8" ht="15.75" customHeight="1">
      <c r="A1790" s="6">
        <v>1786</v>
      </c>
      <c r="B1790" s="11" t="s">
        <v>1696</v>
      </c>
      <c r="C1790" s="11">
        <f xml:space="preserve">     20350</f>
        <v>20350</v>
      </c>
      <c r="D1790" s="11"/>
      <c r="E1790" s="17"/>
      <c r="F1790" s="12"/>
      <c r="G1790" s="8">
        <f t="shared" si="27"/>
        <v>0</v>
      </c>
      <c r="H1790" s="1"/>
    </row>
    <row r="1791" spans="1:8" ht="15.75" customHeight="1">
      <c r="A1791" s="6">
        <v>1787</v>
      </c>
      <c r="B1791" s="11" t="s">
        <v>1697</v>
      </c>
      <c r="C1791" s="11">
        <f xml:space="preserve">     17100</f>
        <v>17100</v>
      </c>
      <c r="D1791" s="11"/>
      <c r="E1791" s="17"/>
      <c r="F1791" s="12"/>
      <c r="G1791" s="8">
        <f t="shared" si="27"/>
        <v>0</v>
      </c>
      <c r="H1791" s="1"/>
    </row>
    <row r="1792" spans="1:8" ht="15.75" customHeight="1">
      <c r="A1792" s="6">
        <v>1788</v>
      </c>
      <c r="B1792" s="11" t="s">
        <v>1698</v>
      </c>
      <c r="C1792" s="11">
        <f xml:space="preserve">     21400</f>
        <v>21400</v>
      </c>
      <c r="D1792" s="11"/>
      <c r="E1792" s="17"/>
      <c r="F1792" s="12"/>
      <c r="G1792" s="8">
        <f t="shared" si="27"/>
        <v>0</v>
      </c>
      <c r="H1792" s="1"/>
    </row>
    <row r="1793" spans="1:8" ht="15.75" customHeight="1">
      <c r="A1793" s="6">
        <v>1789</v>
      </c>
      <c r="B1793" s="11" t="s">
        <v>1699</v>
      </c>
      <c r="C1793" s="11">
        <f xml:space="preserve">    128600</f>
        <v>128600</v>
      </c>
      <c r="D1793" s="11"/>
      <c r="E1793" s="17"/>
      <c r="F1793" s="12"/>
      <c r="G1793" s="8">
        <f t="shared" ref="G1793:G1855" si="28">C1793*D1793+E1793*F1793</f>
        <v>0</v>
      </c>
      <c r="H1793" s="1"/>
    </row>
    <row r="1794" spans="1:8" ht="15.75" customHeight="1">
      <c r="A1794" s="6">
        <v>1790</v>
      </c>
      <c r="B1794" s="11" t="s">
        <v>1700</v>
      </c>
      <c r="C1794" s="11">
        <f xml:space="preserve">    105150</f>
        <v>105150</v>
      </c>
      <c r="D1794" s="11"/>
      <c r="E1794" s="17"/>
      <c r="F1794" s="12"/>
      <c r="G1794" s="8">
        <f t="shared" si="28"/>
        <v>0</v>
      </c>
      <c r="H1794" s="1"/>
    </row>
    <row r="1795" spans="1:8" ht="15.75" customHeight="1">
      <c r="A1795" s="6">
        <v>1791</v>
      </c>
      <c r="B1795" s="11" t="s">
        <v>1701</v>
      </c>
      <c r="C1795" s="11">
        <f xml:space="preserve">     43200</f>
        <v>43200</v>
      </c>
      <c r="D1795" s="11"/>
      <c r="E1795" s="17"/>
      <c r="F1795" s="12"/>
      <c r="G1795" s="8">
        <f t="shared" si="28"/>
        <v>0</v>
      </c>
      <c r="H1795" s="1"/>
    </row>
    <row r="1796" spans="1:8" ht="15.75" customHeight="1">
      <c r="A1796" s="6">
        <v>1792</v>
      </c>
      <c r="B1796" s="11" t="s">
        <v>1702</v>
      </c>
      <c r="C1796" s="11">
        <f xml:space="preserve">     48900</f>
        <v>48900</v>
      </c>
      <c r="D1796" s="11"/>
      <c r="E1796" s="17"/>
      <c r="F1796" s="12"/>
      <c r="G1796" s="8">
        <f t="shared" si="28"/>
        <v>0</v>
      </c>
      <c r="H1796" s="1"/>
    </row>
    <row r="1797" spans="1:8" ht="15.75" customHeight="1">
      <c r="A1797" s="6">
        <v>1793</v>
      </c>
      <c r="B1797" s="11" t="s">
        <v>1703</v>
      </c>
      <c r="C1797" s="11">
        <f xml:space="preserve">     28000</f>
        <v>28000</v>
      </c>
      <c r="D1797" s="11"/>
      <c r="E1797" s="17"/>
      <c r="F1797" s="12"/>
      <c r="G1797" s="8">
        <f t="shared" si="28"/>
        <v>0</v>
      </c>
      <c r="H1797" s="1"/>
    </row>
    <row r="1798" spans="1:8" ht="15.75" customHeight="1">
      <c r="A1798" s="6">
        <v>1794</v>
      </c>
      <c r="B1798" s="11" t="s">
        <v>1704</v>
      </c>
      <c r="C1798" s="11">
        <f xml:space="preserve">     32700</f>
        <v>32700</v>
      </c>
      <c r="D1798" s="11"/>
      <c r="E1798" s="17"/>
      <c r="F1798" s="12"/>
      <c r="G1798" s="8">
        <f t="shared" si="28"/>
        <v>0</v>
      </c>
      <c r="H1798" s="1"/>
    </row>
    <row r="1799" spans="1:8" ht="15.75" customHeight="1">
      <c r="A1799" s="6">
        <v>1795</v>
      </c>
      <c r="B1799" s="11" t="s">
        <v>1705</v>
      </c>
      <c r="C1799" s="11">
        <f xml:space="preserve">     12250</f>
        <v>12250</v>
      </c>
      <c r="D1799" s="11"/>
      <c r="E1799" s="17"/>
      <c r="F1799" s="12"/>
      <c r="G1799" s="8">
        <f t="shared" si="28"/>
        <v>0</v>
      </c>
      <c r="H1799" s="1"/>
    </row>
    <row r="1800" spans="1:8" ht="15.75" customHeight="1">
      <c r="A1800" s="6">
        <v>1796</v>
      </c>
      <c r="B1800" s="11" t="s">
        <v>1705</v>
      </c>
      <c r="C1800" s="11">
        <f xml:space="preserve">     12250</f>
        <v>12250</v>
      </c>
      <c r="D1800" s="11"/>
      <c r="E1800" s="17"/>
      <c r="F1800" s="12"/>
      <c r="G1800" s="8">
        <f t="shared" si="28"/>
        <v>0</v>
      </c>
      <c r="H1800" s="1"/>
    </row>
    <row r="1801" spans="1:8" ht="15.75" customHeight="1">
      <c r="A1801" s="6">
        <v>1797</v>
      </c>
      <c r="B1801" s="11" t="s">
        <v>1706</v>
      </c>
      <c r="C1801" s="11">
        <f xml:space="preserve">     41250</f>
        <v>41250</v>
      </c>
      <c r="D1801" s="11"/>
      <c r="E1801" s="17"/>
      <c r="F1801" s="12"/>
      <c r="G1801" s="8">
        <f t="shared" si="28"/>
        <v>0</v>
      </c>
      <c r="H1801" s="1"/>
    </row>
    <row r="1802" spans="1:8" ht="15.75" customHeight="1">
      <c r="A1802" s="6">
        <v>1798</v>
      </c>
      <c r="B1802" s="11" t="s">
        <v>1707</v>
      </c>
      <c r="C1802" s="11">
        <f xml:space="preserve">     43200</f>
        <v>43200</v>
      </c>
      <c r="D1802" s="11"/>
      <c r="E1802" s="17"/>
      <c r="F1802" s="12"/>
      <c r="G1802" s="8">
        <f t="shared" si="28"/>
        <v>0</v>
      </c>
      <c r="H1802" s="1"/>
    </row>
    <row r="1803" spans="1:8" ht="15.75" customHeight="1">
      <c r="A1803" s="6">
        <v>1799</v>
      </c>
      <c r="B1803" s="11" t="s">
        <v>1708</v>
      </c>
      <c r="C1803" s="11">
        <f xml:space="preserve">     47900</f>
        <v>47900</v>
      </c>
      <c r="D1803" s="11"/>
      <c r="E1803" s="17"/>
      <c r="F1803" s="12"/>
      <c r="G1803" s="8">
        <f t="shared" si="28"/>
        <v>0</v>
      </c>
      <c r="H1803" s="1"/>
    </row>
    <row r="1804" spans="1:8" ht="15.75" customHeight="1">
      <c r="A1804" s="6">
        <v>1800</v>
      </c>
      <c r="B1804" s="11" t="s">
        <v>1709</v>
      </c>
      <c r="C1804" s="11">
        <f xml:space="preserve">    135250</f>
        <v>135250</v>
      </c>
      <c r="D1804" s="11"/>
      <c r="E1804" s="17"/>
      <c r="F1804" s="12"/>
      <c r="G1804" s="8">
        <f t="shared" si="28"/>
        <v>0</v>
      </c>
      <c r="H1804" s="1"/>
    </row>
    <row r="1805" spans="1:8" ht="15.75" customHeight="1">
      <c r="A1805" s="6">
        <v>1801</v>
      </c>
      <c r="B1805" s="11" t="s">
        <v>1710</v>
      </c>
      <c r="C1805" s="11">
        <f xml:space="preserve">     57100</f>
        <v>57100</v>
      </c>
      <c r="D1805" s="11"/>
      <c r="E1805" s="17"/>
      <c r="F1805" s="12"/>
      <c r="G1805" s="8">
        <f t="shared" si="28"/>
        <v>0</v>
      </c>
      <c r="H1805" s="1"/>
    </row>
    <row r="1806" spans="1:8" ht="15.75" customHeight="1">
      <c r="A1806" s="6">
        <v>1802</v>
      </c>
      <c r="B1806" s="11" t="s">
        <v>1711</v>
      </c>
      <c r="C1806" s="11">
        <f xml:space="preserve">    117200</f>
        <v>117200</v>
      </c>
      <c r="D1806" s="11"/>
      <c r="E1806" s="17"/>
      <c r="F1806" s="12"/>
      <c r="G1806" s="8">
        <f t="shared" si="28"/>
        <v>0</v>
      </c>
      <c r="H1806" s="1"/>
    </row>
    <row r="1807" spans="1:8" ht="15.75" customHeight="1">
      <c r="A1807" s="6">
        <v>1803</v>
      </c>
      <c r="B1807" s="11" t="s">
        <v>1712</v>
      </c>
      <c r="C1807" s="11">
        <f xml:space="preserve">     51300</f>
        <v>51300</v>
      </c>
      <c r="D1807" s="11"/>
      <c r="E1807" s="17"/>
      <c r="F1807" s="12"/>
      <c r="G1807" s="8">
        <f t="shared" si="28"/>
        <v>0</v>
      </c>
      <c r="H1807" s="1"/>
    </row>
    <row r="1808" spans="1:8" ht="15.75" customHeight="1">
      <c r="A1808" s="6">
        <v>1804</v>
      </c>
      <c r="B1808" s="11" t="s">
        <v>1713</v>
      </c>
      <c r="C1808" s="11">
        <f xml:space="preserve">     35950</f>
        <v>35950</v>
      </c>
      <c r="D1808" s="11"/>
      <c r="E1808" s="17"/>
      <c r="F1808" s="12"/>
      <c r="G1808" s="8">
        <f t="shared" si="28"/>
        <v>0</v>
      </c>
      <c r="H1808" s="1"/>
    </row>
    <row r="1809" spans="1:8" ht="15.75" customHeight="1">
      <c r="A1809" s="6">
        <v>1805</v>
      </c>
      <c r="B1809" s="11" t="s">
        <v>1714</v>
      </c>
      <c r="C1809" s="11">
        <f xml:space="preserve">     26000</f>
        <v>26000</v>
      </c>
      <c r="D1809" s="11"/>
      <c r="E1809" s="17"/>
      <c r="F1809" s="12"/>
      <c r="G1809" s="8">
        <f t="shared" si="28"/>
        <v>0</v>
      </c>
      <c r="H1809" s="1"/>
    </row>
    <row r="1810" spans="1:8" ht="15.75" customHeight="1">
      <c r="A1810" s="6">
        <v>1806</v>
      </c>
      <c r="B1810" s="11" t="s">
        <v>1715</v>
      </c>
      <c r="C1810" s="11">
        <f xml:space="preserve">     34100</f>
        <v>34100</v>
      </c>
      <c r="D1810" s="11"/>
      <c r="E1810" s="17"/>
      <c r="F1810" s="12"/>
      <c r="G1810" s="8">
        <f t="shared" si="28"/>
        <v>0</v>
      </c>
      <c r="H1810" s="1"/>
    </row>
    <row r="1811" spans="1:8" ht="15.75" customHeight="1">
      <c r="A1811" s="6">
        <v>1807</v>
      </c>
      <c r="B1811" s="11" t="s">
        <v>1716</v>
      </c>
      <c r="C1811" s="11">
        <f xml:space="preserve">     35800</f>
        <v>35800</v>
      </c>
      <c r="D1811" s="11"/>
      <c r="E1811" s="17"/>
      <c r="F1811" s="12"/>
      <c r="G1811" s="8">
        <f t="shared" si="28"/>
        <v>0</v>
      </c>
      <c r="H1811" s="1"/>
    </row>
    <row r="1812" spans="1:8" ht="15.75" customHeight="1">
      <c r="A1812" s="6">
        <v>1808</v>
      </c>
      <c r="B1812" s="11" t="s">
        <v>1717</v>
      </c>
      <c r="C1812" s="11">
        <f xml:space="preserve">     49900</f>
        <v>49900</v>
      </c>
      <c r="D1812" s="11"/>
      <c r="E1812" s="17"/>
      <c r="F1812" s="12"/>
      <c r="G1812" s="8">
        <f t="shared" si="28"/>
        <v>0</v>
      </c>
      <c r="H1812" s="1"/>
    </row>
    <row r="1813" spans="1:8" ht="15.75" customHeight="1">
      <c r="A1813" s="6">
        <v>1809</v>
      </c>
      <c r="B1813" s="11" t="s">
        <v>1718</v>
      </c>
      <c r="C1813" s="11">
        <f xml:space="preserve">      5600</f>
        <v>5600</v>
      </c>
      <c r="D1813" s="11"/>
      <c r="E1813" s="17"/>
      <c r="F1813" s="12"/>
      <c r="G1813" s="8">
        <f t="shared" si="28"/>
        <v>0</v>
      </c>
      <c r="H1813" s="1"/>
    </row>
    <row r="1814" spans="1:8" ht="15.75" customHeight="1">
      <c r="A1814" s="6">
        <v>1810</v>
      </c>
      <c r="B1814" s="11" t="s">
        <v>1718</v>
      </c>
      <c r="C1814" s="11">
        <f xml:space="preserve">      5600</f>
        <v>5600</v>
      </c>
      <c r="D1814" s="11"/>
      <c r="E1814" s="17"/>
      <c r="F1814" s="12"/>
      <c r="G1814" s="8">
        <f t="shared" si="28"/>
        <v>0</v>
      </c>
      <c r="H1814" s="1"/>
    </row>
    <row r="1815" spans="1:8" ht="15.75" customHeight="1">
      <c r="A1815" s="6">
        <v>1811</v>
      </c>
      <c r="B1815" s="11" t="s">
        <v>1719</v>
      </c>
      <c r="C1815" s="11">
        <f xml:space="preserve">      6700</f>
        <v>6700</v>
      </c>
      <c r="D1815" s="11"/>
      <c r="E1815" s="17"/>
      <c r="F1815" s="12"/>
      <c r="G1815" s="8">
        <f t="shared" si="28"/>
        <v>0</v>
      </c>
      <c r="H1815" s="1"/>
    </row>
    <row r="1816" spans="1:8" ht="15.75" customHeight="1">
      <c r="A1816" s="6">
        <v>1812</v>
      </c>
      <c r="B1816" s="11" t="s">
        <v>1720</v>
      </c>
      <c r="C1816" s="11">
        <f xml:space="preserve">     37000</f>
        <v>37000</v>
      </c>
      <c r="D1816" s="11"/>
      <c r="E1816" s="17"/>
      <c r="F1816" s="12"/>
      <c r="G1816" s="8">
        <f t="shared" si="28"/>
        <v>0</v>
      </c>
      <c r="H1816" s="1"/>
    </row>
    <row r="1817" spans="1:8" ht="15.75" customHeight="1">
      <c r="A1817" s="6">
        <v>1813</v>
      </c>
      <c r="B1817" s="11" t="s">
        <v>1721</v>
      </c>
      <c r="C1817" s="11">
        <f xml:space="preserve">      8250</f>
        <v>8250</v>
      </c>
      <c r="D1817" s="11"/>
      <c r="E1817" s="17"/>
      <c r="F1817" s="12"/>
      <c r="G1817" s="8">
        <f t="shared" si="28"/>
        <v>0</v>
      </c>
      <c r="H1817" s="1"/>
    </row>
    <row r="1818" spans="1:8" ht="15.75" customHeight="1">
      <c r="A1818" s="6">
        <v>1814</v>
      </c>
      <c r="B1818" s="11" t="s">
        <v>1722</v>
      </c>
      <c r="C1818" s="11">
        <f xml:space="preserve">     21850</f>
        <v>21850</v>
      </c>
      <c r="D1818" s="11"/>
      <c r="E1818" s="17"/>
      <c r="F1818" s="12"/>
      <c r="G1818" s="8">
        <f t="shared" si="28"/>
        <v>0</v>
      </c>
      <c r="H1818" s="1"/>
    </row>
    <row r="1819" spans="1:8" ht="15.75" customHeight="1">
      <c r="A1819" s="6">
        <v>1815</v>
      </c>
      <c r="B1819" s="11" t="s">
        <v>1723</v>
      </c>
      <c r="C1819" s="11">
        <f xml:space="preserve">     21250</f>
        <v>21250</v>
      </c>
      <c r="D1819" s="11"/>
      <c r="E1819" s="17"/>
      <c r="F1819" s="12"/>
      <c r="G1819" s="8">
        <f t="shared" si="28"/>
        <v>0</v>
      </c>
      <c r="H1819" s="1"/>
    </row>
    <row r="1820" spans="1:8" ht="15.75" customHeight="1">
      <c r="A1820" s="6">
        <v>1816</v>
      </c>
      <c r="B1820" s="11" t="s">
        <v>1724</v>
      </c>
      <c r="C1820" s="11">
        <f xml:space="preserve">     42900</f>
        <v>42900</v>
      </c>
      <c r="D1820" s="11"/>
      <c r="E1820" s="17"/>
      <c r="F1820" s="12"/>
      <c r="G1820" s="8">
        <f t="shared" si="28"/>
        <v>0</v>
      </c>
      <c r="H1820" s="1"/>
    </row>
    <row r="1821" spans="1:8" ht="15.75" customHeight="1">
      <c r="A1821" s="6">
        <v>1817</v>
      </c>
      <c r="B1821" s="11" t="s">
        <v>1725</v>
      </c>
      <c r="C1821" s="11">
        <f xml:space="preserve">    188100</f>
        <v>188100</v>
      </c>
      <c r="D1821" s="11"/>
      <c r="E1821" s="17"/>
      <c r="F1821" s="12"/>
      <c r="G1821" s="8">
        <f t="shared" si="28"/>
        <v>0</v>
      </c>
      <c r="H1821" s="1"/>
    </row>
    <row r="1822" spans="1:8" ht="15.75" customHeight="1">
      <c r="A1822" s="6">
        <v>1818</v>
      </c>
      <c r="B1822" s="11" t="s">
        <v>1726</v>
      </c>
      <c r="C1822" s="11">
        <f xml:space="preserve">     11000</f>
        <v>11000</v>
      </c>
      <c r="D1822" s="11"/>
      <c r="E1822" s="17"/>
      <c r="F1822" s="12"/>
      <c r="G1822" s="8">
        <f t="shared" si="28"/>
        <v>0</v>
      </c>
      <c r="H1822" s="1"/>
    </row>
    <row r="1823" spans="1:8" ht="15.75" customHeight="1">
      <c r="A1823" s="6">
        <v>1819</v>
      </c>
      <c r="B1823" s="11" t="s">
        <v>1727</v>
      </c>
      <c r="C1823" s="11">
        <f xml:space="preserve">       980</f>
        <v>980</v>
      </c>
      <c r="D1823" s="11"/>
      <c r="E1823" s="17"/>
      <c r="F1823" s="12"/>
      <c r="G1823" s="8">
        <f t="shared" si="28"/>
        <v>0</v>
      </c>
      <c r="H1823" s="1"/>
    </row>
    <row r="1824" spans="1:8" ht="15.75" customHeight="1">
      <c r="A1824" s="6">
        <v>1820</v>
      </c>
      <c r="B1824" s="11" t="s">
        <v>1728</v>
      </c>
      <c r="C1824" s="11">
        <f xml:space="preserve">      3625</f>
        <v>3625</v>
      </c>
      <c r="D1824" s="11"/>
      <c r="E1824" s="17"/>
      <c r="F1824" s="12"/>
      <c r="G1824" s="8">
        <f t="shared" si="28"/>
        <v>0</v>
      </c>
      <c r="H1824" s="1"/>
    </row>
    <row r="1825" spans="1:8" ht="15.75" customHeight="1">
      <c r="A1825" s="6">
        <v>1821</v>
      </c>
      <c r="B1825" s="11" t="s">
        <v>1729</v>
      </c>
      <c r="C1825" s="11">
        <f xml:space="preserve">     11000</f>
        <v>11000</v>
      </c>
      <c r="D1825" s="11"/>
      <c r="E1825" s="17"/>
      <c r="F1825" s="12"/>
      <c r="G1825" s="8">
        <f t="shared" si="28"/>
        <v>0</v>
      </c>
      <c r="H1825" s="1"/>
    </row>
    <row r="1826" spans="1:8" ht="15.75" customHeight="1">
      <c r="A1826" s="6">
        <v>1822</v>
      </c>
      <c r="B1826" s="11" t="s">
        <v>1730</v>
      </c>
      <c r="C1826" s="11">
        <f xml:space="preserve">     15900</f>
        <v>15900</v>
      </c>
      <c r="D1826" s="11"/>
      <c r="E1826" s="17"/>
      <c r="F1826" s="12"/>
      <c r="G1826" s="8">
        <f t="shared" si="28"/>
        <v>0</v>
      </c>
      <c r="H1826" s="1"/>
    </row>
    <row r="1827" spans="1:8" ht="15.75" customHeight="1">
      <c r="A1827" s="6">
        <v>1823</v>
      </c>
      <c r="B1827" s="11" t="s">
        <v>1731</v>
      </c>
      <c r="C1827" s="11">
        <f xml:space="preserve">     48250</f>
        <v>48250</v>
      </c>
      <c r="D1827" s="11"/>
      <c r="E1827" s="17"/>
      <c r="F1827" s="12"/>
      <c r="G1827" s="8">
        <f t="shared" si="28"/>
        <v>0</v>
      </c>
      <c r="H1827" s="1"/>
    </row>
    <row r="1828" spans="1:8" ht="15.75" customHeight="1">
      <c r="A1828" s="6">
        <v>1824</v>
      </c>
      <c r="B1828" s="11" t="s">
        <v>1732</v>
      </c>
      <c r="C1828" s="11">
        <f xml:space="preserve">     53450</f>
        <v>53450</v>
      </c>
      <c r="D1828" s="11"/>
      <c r="E1828" s="17"/>
      <c r="F1828" s="12"/>
      <c r="G1828" s="8">
        <f t="shared" si="28"/>
        <v>0</v>
      </c>
      <c r="H1828" s="1"/>
    </row>
    <row r="1829" spans="1:8" ht="15.75" customHeight="1">
      <c r="A1829" s="6">
        <v>1825</v>
      </c>
      <c r="B1829" s="11" t="s">
        <v>1733</v>
      </c>
      <c r="C1829" s="11">
        <f xml:space="preserve">     15800</f>
        <v>15800</v>
      </c>
      <c r="D1829" s="11"/>
      <c r="E1829" s="17"/>
      <c r="F1829" s="12"/>
      <c r="G1829" s="8">
        <f t="shared" si="28"/>
        <v>0</v>
      </c>
      <c r="H1829" s="1"/>
    </row>
    <row r="1830" spans="1:8" ht="15.75" customHeight="1">
      <c r="A1830" s="6">
        <v>1826</v>
      </c>
      <c r="B1830" s="11" t="s">
        <v>1734</v>
      </c>
      <c r="C1830" s="11">
        <f xml:space="preserve">     15350</f>
        <v>15350</v>
      </c>
      <c r="D1830" s="11"/>
      <c r="E1830" s="17"/>
      <c r="F1830" s="12"/>
      <c r="G1830" s="8">
        <f t="shared" si="28"/>
        <v>0</v>
      </c>
      <c r="H1830" s="1"/>
    </row>
    <row r="1831" spans="1:8" ht="15.75" customHeight="1">
      <c r="A1831" s="6">
        <v>1827</v>
      </c>
      <c r="B1831" s="11" t="s">
        <v>1735</v>
      </c>
      <c r="C1831" s="11">
        <f xml:space="preserve">     15500</f>
        <v>15500</v>
      </c>
      <c r="D1831" s="11"/>
      <c r="E1831" s="17"/>
      <c r="F1831" s="12"/>
      <c r="G1831" s="8">
        <f t="shared" si="28"/>
        <v>0</v>
      </c>
      <c r="H1831" s="1"/>
    </row>
    <row r="1832" spans="1:8" ht="15.75" customHeight="1">
      <c r="A1832" s="6">
        <v>1828</v>
      </c>
      <c r="B1832" s="11" t="s">
        <v>1736</v>
      </c>
      <c r="C1832" s="11">
        <f xml:space="preserve">     17900</f>
        <v>17900</v>
      </c>
      <c r="D1832" s="11"/>
      <c r="E1832" s="17"/>
      <c r="F1832" s="12"/>
      <c r="G1832" s="8">
        <f t="shared" si="28"/>
        <v>0</v>
      </c>
      <c r="H1832" s="1"/>
    </row>
    <row r="1833" spans="1:8" ht="15.75" customHeight="1">
      <c r="A1833" s="6">
        <v>1829</v>
      </c>
      <c r="B1833" s="11" t="s">
        <v>1737</v>
      </c>
      <c r="C1833" s="11">
        <f xml:space="preserve">      2300</f>
        <v>2300</v>
      </c>
      <c r="D1833" s="11"/>
      <c r="E1833" s="17"/>
      <c r="F1833" s="12"/>
      <c r="G1833" s="8">
        <f t="shared" si="28"/>
        <v>0</v>
      </c>
      <c r="H1833" s="1"/>
    </row>
    <row r="1834" spans="1:8" ht="15.75" customHeight="1">
      <c r="A1834" s="6">
        <v>1830</v>
      </c>
      <c r="B1834" s="11" t="s">
        <v>1738</v>
      </c>
      <c r="C1834" s="11">
        <f xml:space="preserve">      2800</f>
        <v>2800</v>
      </c>
      <c r="D1834" s="11"/>
      <c r="E1834" s="17"/>
      <c r="F1834" s="12"/>
      <c r="G1834" s="8">
        <f t="shared" si="28"/>
        <v>0</v>
      </c>
      <c r="H1834" s="1"/>
    </row>
    <row r="1835" spans="1:8" ht="15.75" customHeight="1">
      <c r="A1835" s="6">
        <v>1831</v>
      </c>
      <c r="B1835" s="11" t="s">
        <v>1739</v>
      </c>
      <c r="C1835" s="11">
        <f xml:space="preserve">      3300</f>
        <v>3300</v>
      </c>
      <c r="D1835" s="11"/>
      <c r="E1835" s="17"/>
      <c r="F1835" s="12"/>
      <c r="G1835" s="8">
        <f t="shared" si="28"/>
        <v>0</v>
      </c>
      <c r="H1835" s="1"/>
    </row>
    <row r="1836" spans="1:8" ht="15.75" customHeight="1">
      <c r="A1836" s="6">
        <v>1832</v>
      </c>
      <c r="B1836" s="11" t="s">
        <v>1740</v>
      </c>
      <c r="C1836" s="11">
        <f xml:space="preserve">     29550</f>
        <v>29550</v>
      </c>
      <c r="D1836" s="11"/>
      <c r="E1836" s="17"/>
      <c r="F1836" s="12"/>
      <c r="G1836" s="8">
        <f t="shared" si="28"/>
        <v>0</v>
      </c>
      <c r="H1836" s="1"/>
    </row>
    <row r="1837" spans="1:8" ht="15.75" customHeight="1">
      <c r="A1837" s="6">
        <v>1833</v>
      </c>
      <c r="B1837" s="11" t="s">
        <v>1741</v>
      </c>
      <c r="C1837" s="11">
        <f xml:space="preserve">     30300</f>
        <v>30300</v>
      </c>
      <c r="D1837" s="11"/>
      <c r="E1837" s="17"/>
      <c r="F1837" s="12"/>
      <c r="G1837" s="8">
        <f t="shared" si="28"/>
        <v>0</v>
      </c>
      <c r="H1837" s="1"/>
    </row>
    <row r="1838" spans="1:8" ht="15.75" customHeight="1">
      <c r="A1838" s="6">
        <v>1834</v>
      </c>
      <c r="B1838" s="11" t="s">
        <v>1742</v>
      </c>
      <c r="C1838" s="11">
        <f xml:space="preserve">     28400</f>
        <v>28400</v>
      </c>
      <c r="D1838" s="11"/>
      <c r="E1838" s="17"/>
      <c r="F1838" s="12"/>
      <c r="G1838" s="8">
        <f t="shared" si="28"/>
        <v>0</v>
      </c>
      <c r="H1838" s="1"/>
    </row>
    <row r="1839" spans="1:8" ht="15.75" customHeight="1">
      <c r="A1839" s="6">
        <v>1835</v>
      </c>
      <c r="B1839" s="11" t="s">
        <v>1743</v>
      </c>
      <c r="C1839" s="11">
        <f xml:space="preserve">     80650</f>
        <v>80650</v>
      </c>
      <c r="D1839" s="11"/>
      <c r="E1839" s="17"/>
      <c r="F1839" s="12"/>
      <c r="G1839" s="8">
        <f t="shared" si="28"/>
        <v>0</v>
      </c>
      <c r="H1839" s="1"/>
    </row>
    <row r="1840" spans="1:8" ht="15.75" customHeight="1">
      <c r="A1840" s="6">
        <v>1836</v>
      </c>
      <c r="B1840" s="11" t="s">
        <v>1744</v>
      </c>
      <c r="C1840" s="11">
        <f xml:space="preserve">    116950</f>
        <v>116950</v>
      </c>
      <c r="D1840" s="11"/>
      <c r="E1840" s="17"/>
      <c r="F1840" s="12"/>
      <c r="G1840" s="8">
        <f t="shared" si="28"/>
        <v>0</v>
      </c>
      <c r="H1840" s="1"/>
    </row>
    <row r="1841" spans="1:8" ht="15.75" customHeight="1">
      <c r="A1841" s="6">
        <v>1837</v>
      </c>
      <c r="B1841" s="11" t="s">
        <v>1745</v>
      </c>
      <c r="C1841" s="11">
        <f xml:space="preserve">     12200</f>
        <v>12200</v>
      </c>
      <c r="D1841" s="11"/>
      <c r="E1841" s="17"/>
      <c r="F1841" s="12"/>
      <c r="G1841" s="8">
        <f t="shared" si="28"/>
        <v>0</v>
      </c>
      <c r="H1841" s="1"/>
    </row>
    <row r="1842" spans="1:8" ht="15.75" customHeight="1">
      <c r="A1842" s="6">
        <v>1838</v>
      </c>
      <c r="B1842" s="11" t="s">
        <v>1745</v>
      </c>
      <c r="C1842" s="11">
        <f xml:space="preserve">     12200</f>
        <v>12200</v>
      </c>
      <c r="D1842" s="11"/>
      <c r="E1842" s="17"/>
      <c r="F1842" s="12"/>
      <c r="G1842" s="8">
        <f t="shared" si="28"/>
        <v>0</v>
      </c>
      <c r="H1842" s="1"/>
    </row>
    <row r="1843" spans="1:8" ht="15.75" customHeight="1">
      <c r="A1843" s="6">
        <v>1839</v>
      </c>
      <c r="B1843" s="11" t="s">
        <v>1746</v>
      </c>
      <c r="C1843" s="11">
        <f xml:space="preserve">     73250</f>
        <v>73250</v>
      </c>
      <c r="D1843" s="11"/>
      <c r="E1843" s="17"/>
      <c r="F1843" s="12"/>
      <c r="G1843" s="8">
        <f t="shared" si="28"/>
        <v>0</v>
      </c>
      <c r="H1843" s="1"/>
    </row>
    <row r="1844" spans="1:8" ht="15.75" customHeight="1">
      <c r="A1844" s="6">
        <v>1840</v>
      </c>
      <c r="B1844" s="11" t="s">
        <v>1747</v>
      </c>
      <c r="C1844" s="11">
        <f xml:space="preserve">     81200</f>
        <v>81200</v>
      </c>
      <c r="D1844" s="11"/>
      <c r="E1844" s="17"/>
      <c r="F1844" s="12"/>
      <c r="G1844" s="8">
        <f t="shared" si="28"/>
        <v>0</v>
      </c>
      <c r="H1844" s="1"/>
    </row>
    <row r="1845" spans="1:8" ht="15.75" customHeight="1">
      <c r="A1845" s="6">
        <v>1841</v>
      </c>
      <c r="B1845" s="11" t="s">
        <v>1748</v>
      </c>
      <c r="C1845" s="11">
        <f xml:space="preserve">     99800</f>
        <v>99800</v>
      </c>
      <c r="D1845" s="11"/>
      <c r="E1845" s="17"/>
      <c r="F1845" s="12"/>
      <c r="G1845" s="8">
        <f t="shared" si="28"/>
        <v>0</v>
      </c>
      <c r="H1845" s="1"/>
    </row>
    <row r="1846" spans="1:8" ht="15.75" customHeight="1">
      <c r="A1846" s="6">
        <v>1842</v>
      </c>
      <c r="B1846" s="11" t="s">
        <v>1749</v>
      </c>
      <c r="C1846" s="11">
        <f xml:space="preserve">     57100</f>
        <v>57100</v>
      </c>
      <c r="D1846" s="11"/>
      <c r="E1846" s="17"/>
      <c r="F1846" s="12"/>
      <c r="G1846" s="8">
        <f t="shared" si="28"/>
        <v>0</v>
      </c>
      <c r="H1846" s="1"/>
    </row>
    <row r="1847" spans="1:8" ht="15.75" customHeight="1">
      <c r="A1847" s="6">
        <v>1843</v>
      </c>
      <c r="B1847" s="11" t="s">
        <v>1750</v>
      </c>
      <c r="C1847" s="11">
        <f xml:space="preserve">     57450</f>
        <v>57450</v>
      </c>
      <c r="D1847" s="11"/>
      <c r="E1847" s="17"/>
      <c r="F1847" s="12"/>
      <c r="G1847" s="8">
        <f t="shared" si="28"/>
        <v>0</v>
      </c>
      <c r="H1847" s="1"/>
    </row>
    <row r="1848" spans="1:8" ht="15.75" customHeight="1">
      <c r="A1848" s="6">
        <v>1844</v>
      </c>
      <c r="B1848" s="11" t="s">
        <v>1751</v>
      </c>
      <c r="C1848" s="11">
        <f xml:space="preserve">    106600</f>
        <v>106600</v>
      </c>
      <c r="D1848" s="11"/>
      <c r="E1848" s="17"/>
      <c r="F1848" s="12"/>
      <c r="G1848" s="8">
        <f t="shared" si="28"/>
        <v>0</v>
      </c>
      <c r="H1848" s="1"/>
    </row>
    <row r="1849" spans="1:8" ht="15.75" customHeight="1">
      <c r="A1849" s="6">
        <v>1845</v>
      </c>
      <c r="B1849" s="11" t="s">
        <v>1752</v>
      </c>
      <c r="C1849" s="11">
        <f xml:space="preserve">    106000</f>
        <v>106000</v>
      </c>
      <c r="D1849" s="11"/>
      <c r="E1849" s="17"/>
      <c r="F1849" s="12"/>
      <c r="G1849" s="8">
        <f t="shared" si="28"/>
        <v>0</v>
      </c>
      <c r="H1849" s="1"/>
    </row>
    <row r="1850" spans="1:8" ht="15.75" customHeight="1">
      <c r="A1850" s="6">
        <v>1846</v>
      </c>
      <c r="B1850" s="11" t="s">
        <v>1753</v>
      </c>
      <c r="C1850" s="11">
        <f xml:space="preserve">     47500</f>
        <v>47500</v>
      </c>
      <c r="D1850" s="11"/>
      <c r="E1850" s="17"/>
      <c r="F1850" s="12"/>
      <c r="G1850" s="8">
        <f t="shared" si="28"/>
        <v>0</v>
      </c>
      <c r="H1850" s="1"/>
    </row>
    <row r="1851" spans="1:8" ht="15.75" customHeight="1">
      <c r="A1851" s="6">
        <v>1847</v>
      </c>
      <c r="B1851" s="11" t="s">
        <v>1754</v>
      </c>
      <c r="C1851" s="11">
        <f xml:space="preserve">     20100</f>
        <v>20100</v>
      </c>
      <c r="D1851" s="11"/>
      <c r="E1851" s="17"/>
      <c r="F1851" s="12"/>
      <c r="G1851" s="8">
        <f t="shared" si="28"/>
        <v>0</v>
      </c>
      <c r="H1851" s="1"/>
    </row>
    <row r="1852" spans="1:8" ht="15.75" customHeight="1">
      <c r="A1852" s="6">
        <v>1848</v>
      </c>
      <c r="B1852" s="11" t="s">
        <v>1755</v>
      </c>
      <c r="C1852" s="11">
        <f xml:space="preserve">     18600</f>
        <v>18600</v>
      </c>
      <c r="D1852" s="11"/>
      <c r="E1852" s="17"/>
      <c r="F1852" s="12"/>
      <c r="G1852" s="8">
        <f t="shared" si="28"/>
        <v>0</v>
      </c>
      <c r="H1852" s="1"/>
    </row>
    <row r="1853" spans="1:8" ht="15.75" customHeight="1">
      <c r="A1853" s="6">
        <v>1849</v>
      </c>
      <c r="B1853" s="11" t="s">
        <v>1756</v>
      </c>
      <c r="C1853" s="11">
        <f xml:space="preserve">     28000</f>
        <v>28000</v>
      </c>
      <c r="D1853" s="11"/>
      <c r="E1853" s="17"/>
      <c r="F1853" s="12"/>
      <c r="G1853" s="8">
        <f t="shared" si="28"/>
        <v>0</v>
      </c>
      <c r="H1853" s="1"/>
    </row>
    <row r="1854" spans="1:8" ht="15.75" customHeight="1">
      <c r="A1854" s="6">
        <v>1850</v>
      </c>
      <c r="B1854" s="11" t="s">
        <v>1757</v>
      </c>
      <c r="C1854" s="11">
        <f xml:space="preserve">     29150</f>
        <v>29150</v>
      </c>
      <c r="D1854" s="11"/>
      <c r="E1854" s="17"/>
      <c r="F1854" s="12"/>
      <c r="G1854" s="8">
        <f t="shared" si="28"/>
        <v>0</v>
      </c>
      <c r="H1854" s="1"/>
    </row>
    <row r="1855" spans="1:8" ht="15.75" customHeight="1">
      <c r="A1855" s="6">
        <v>1851</v>
      </c>
      <c r="B1855" s="11" t="s">
        <v>1758</v>
      </c>
      <c r="C1855" s="11">
        <f xml:space="preserve">     17100</f>
        <v>17100</v>
      </c>
      <c r="D1855" s="11"/>
      <c r="E1855" s="17"/>
      <c r="F1855" s="12"/>
      <c r="G1855" s="8">
        <f t="shared" si="28"/>
        <v>0</v>
      </c>
      <c r="H1855" s="1"/>
    </row>
    <row r="1856" spans="1:8" ht="15.75" customHeight="1">
      <c r="A1856" s="6">
        <v>1852</v>
      </c>
      <c r="B1856" s="11" t="s">
        <v>1759</v>
      </c>
      <c r="C1856" s="11">
        <f xml:space="preserve">     61400</f>
        <v>61400</v>
      </c>
      <c r="D1856" s="11"/>
      <c r="E1856" s="17"/>
      <c r="F1856" s="12"/>
      <c r="G1856" s="8">
        <f t="shared" ref="G1856:G1917" si="29">C1856*D1856+E1856*F1856</f>
        <v>0</v>
      </c>
      <c r="H1856" s="1"/>
    </row>
    <row r="1857" spans="1:8" ht="15.75" customHeight="1">
      <c r="A1857" s="6">
        <v>1853</v>
      </c>
      <c r="B1857" s="11" t="s">
        <v>1760</v>
      </c>
      <c r="C1857" s="11">
        <f xml:space="preserve">    138150</f>
        <v>138150</v>
      </c>
      <c r="D1857" s="11"/>
      <c r="E1857" s="17"/>
      <c r="F1857" s="12"/>
      <c r="G1857" s="8">
        <f t="shared" si="29"/>
        <v>0</v>
      </c>
      <c r="H1857" s="1"/>
    </row>
    <row r="1858" spans="1:8" ht="15.75" customHeight="1">
      <c r="A1858" s="6">
        <v>1854</v>
      </c>
      <c r="B1858" s="11" t="s">
        <v>1761</v>
      </c>
      <c r="C1858" s="11">
        <f xml:space="preserve">     26800</f>
        <v>26800</v>
      </c>
      <c r="D1858" s="11"/>
      <c r="E1858" s="17"/>
      <c r="F1858" s="12"/>
      <c r="G1858" s="8">
        <f t="shared" si="29"/>
        <v>0</v>
      </c>
      <c r="H1858" s="1"/>
    </row>
    <row r="1859" spans="1:8" ht="15.75" customHeight="1">
      <c r="A1859" s="6">
        <v>1855</v>
      </c>
      <c r="B1859" s="11" t="s">
        <v>1762</v>
      </c>
      <c r="C1859" s="11">
        <f xml:space="preserve">     34450</f>
        <v>34450</v>
      </c>
      <c r="D1859" s="11"/>
      <c r="E1859" s="17"/>
      <c r="F1859" s="12"/>
      <c r="G1859" s="8">
        <f t="shared" si="29"/>
        <v>0</v>
      </c>
      <c r="H1859" s="1"/>
    </row>
    <row r="1860" spans="1:8" ht="15.75" customHeight="1">
      <c r="A1860" s="6">
        <v>1856</v>
      </c>
      <c r="B1860" s="11" t="s">
        <v>1763</v>
      </c>
      <c r="C1860" s="11">
        <f xml:space="preserve">     75350</f>
        <v>75350</v>
      </c>
      <c r="D1860" s="11"/>
      <c r="E1860" s="17"/>
      <c r="F1860" s="12"/>
      <c r="G1860" s="8">
        <f t="shared" si="29"/>
        <v>0</v>
      </c>
      <c r="H1860" s="1"/>
    </row>
    <row r="1861" spans="1:8" ht="15.75" customHeight="1">
      <c r="A1861" s="6">
        <v>1857</v>
      </c>
      <c r="B1861" s="11" t="s">
        <v>1763</v>
      </c>
      <c r="C1861" s="11">
        <f xml:space="preserve">     64900</f>
        <v>64900</v>
      </c>
      <c r="D1861" s="11"/>
      <c r="E1861" s="17"/>
      <c r="F1861" s="12"/>
      <c r="G1861" s="8">
        <f t="shared" si="29"/>
        <v>0</v>
      </c>
      <c r="H1861" s="1"/>
    </row>
    <row r="1862" spans="1:8" ht="15.75" customHeight="1">
      <c r="A1862" s="6">
        <v>1858</v>
      </c>
      <c r="B1862" s="11" t="s">
        <v>1763</v>
      </c>
      <c r="C1862" s="11">
        <f xml:space="preserve">     64900</f>
        <v>64900</v>
      </c>
      <c r="D1862" s="11"/>
      <c r="E1862" s="17"/>
      <c r="F1862" s="12"/>
      <c r="G1862" s="8">
        <f t="shared" si="29"/>
        <v>0</v>
      </c>
      <c r="H1862" s="1"/>
    </row>
    <row r="1863" spans="1:8" ht="15.75" customHeight="1">
      <c r="A1863" s="6">
        <v>1859</v>
      </c>
      <c r="B1863" s="11" t="s">
        <v>1764</v>
      </c>
      <c r="C1863" s="11">
        <f xml:space="preserve">     78350</f>
        <v>78350</v>
      </c>
      <c r="D1863" s="11"/>
      <c r="E1863" s="17"/>
      <c r="F1863" s="12"/>
      <c r="G1863" s="8">
        <f t="shared" si="29"/>
        <v>0</v>
      </c>
      <c r="H1863" s="1"/>
    </row>
    <row r="1864" spans="1:8" ht="15.75" customHeight="1">
      <c r="A1864" s="6">
        <v>1860</v>
      </c>
      <c r="B1864" s="11" t="s">
        <v>1765</v>
      </c>
      <c r="C1864" s="11">
        <f xml:space="preserve">     73200</f>
        <v>73200</v>
      </c>
      <c r="D1864" s="11"/>
      <c r="E1864" s="17"/>
      <c r="F1864" s="12"/>
      <c r="G1864" s="8">
        <f t="shared" si="29"/>
        <v>0</v>
      </c>
      <c r="H1864" s="1"/>
    </row>
    <row r="1865" spans="1:8" ht="15.75" customHeight="1">
      <c r="A1865" s="6">
        <v>1861</v>
      </c>
      <c r="B1865" s="11" t="s">
        <v>1766</v>
      </c>
      <c r="C1865" s="11">
        <f xml:space="preserve">     40250</f>
        <v>40250</v>
      </c>
      <c r="D1865" s="11"/>
      <c r="E1865" s="17"/>
      <c r="F1865" s="12"/>
      <c r="G1865" s="8">
        <f t="shared" si="29"/>
        <v>0</v>
      </c>
      <c r="H1865" s="1"/>
    </row>
    <row r="1866" spans="1:8" ht="15.75" customHeight="1">
      <c r="A1866" s="6">
        <v>1862</v>
      </c>
      <c r="B1866" s="11" t="s">
        <v>1767</v>
      </c>
      <c r="C1866" s="11">
        <f xml:space="preserve">     51900</f>
        <v>51900</v>
      </c>
      <c r="D1866" s="11"/>
      <c r="E1866" s="17"/>
      <c r="F1866" s="12"/>
      <c r="G1866" s="8">
        <f t="shared" si="29"/>
        <v>0</v>
      </c>
      <c r="H1866" s="1"/>
    </row>
    <row r="1867" spans="1:8" ht="15.75" customHeight="1">
      <c r="A1867" s="6">
        <v>1863</v>
      </c>
      <c r="B1867" s="11" t="s">
        <v>1768</v>
      </c>
      <c r="C1867" s="11">
        <f xml:space="preserve">      8200</f>
        <v>8200</v>
      </c>
      <c r="D1867" s="11"/>
      <c r="E1867" s="17"/>
      <c r="F1867" s="12"/>
      <c r="G1867" s="8">
        <f t="shared" si="29"/>
        <v>0</v>
      </c>
      <c r="H1867" s="1"/>
    </row>
    <row r="1868" spans="1:8" ht="15.75" customHeight="1">
      <c r="A1868" s="6">
        <v>1864</v>
      </c>
      <c r="B1868" s="11" t="s">
        <v>1769</v>
      </c>
      <c r="C1868" s="11">
        <f xml:space="preserve">     18350</f>
        <v>18350</v>
      </c>
      <c r="D1868" s="11"/>
      <c r="E1868" s="17"/>
      <c r="F1868" s="12"/>
      <c r="G1868" s="8">
        <f t="shared" si="29"/>
        <v>0</v>
      </c>
      <c r="H1868" s="1"/>
    </row>
    <row r="1869" spans="1:8" ht="15.75" customHeight="1">
      <c r="A1869" s="6">
        <v>1865</v>
      </c>
      <c r="B1869" s="11" t="s">
        <v>1770</v>
      </c>
      <c r="C1869" s="11">
        <f xml:space="preserve">     14850</f>
        <v>14850</v>
      </c>
      <c r="D1869" s="11"/>
      <c r="E1869" s="17"/>
      <c r="F1869" s="12"/>
      <c r="G1869" s="8">
        <f t="shared" si="29"/>
        <v>0</v>
      </c>
      <c r="H1869" s="1"/>
    </row>
    <row r="1870" spans="1:8" ht="15.75" customHeight="1">
      <c r="A1870" s="6">
        <v>1866</v>
      </c>
      <c r="B1870" s="11" t="s">
        <v>1771</v>
      </c>
      <c r="C1870" s="11">
        <f xml:space="preserve">     40200</f>
        <v>40200</v>
      </c>
      <c r="D1870" s="11"/>
      <c r="E1870" s="17"/>
      <c r="F1870" s="12"/>
      <c r="G1870" s="8">
        <f t="shared" si="29"/>
        <v>0</v>
      </c>
      <c r="H1870" s="1"/>
    </row>
    <row r="1871" spans="1:8" ht="15.75" customHeight="1">
      <c r="A1871" s="6">
        <v>1867</v>
      </c>
      <c r="B1871" s="11" t="s">
        <v>1772</v>
      </c>
      <c r="C1871" s="11">
        <f xml:space="preserve">     57950</f>
        <v>57950</v>
      </c>
      <c r="D1871" s="11"/>
      <c r="E1871" s="17"/>
      <c r="F1871" s="12"/>
      <c r="G1871" s="8">
        <f t="shared" si="29"/>
        <v>0</v>
      </c>
      <c r="H1871" s="1"/>
    </row>
    <row r="1872" spans="1:8" ht="15.75" customHeight="1">
      <c r="A1872" s="6">
        <v>1868</v>
      </c>
      <c r="B1872" s="11" t="s">
        <v>1773</v>
      </c>
      <c r="C1872" s="11">
        <f xml:space="preserve">      1140</f>
        <v>1140</v>
      </c>
      <c r="D1872" s="11"/>
      <c r="E1872" s="17"/>
      <c r="F1872" s="12"/>
      <c r="G1872" s="8">
        <f t="shared" si="29"/>
        <v>0</v>
      </c>
      <c r="H1872" s="1"/>
    </row>
    <row r="1873" spans="1:8" ht="15.75" customHeight="1">
      <c r="A1873" s="6">
        <v>1869</v>
      </c>
      <c r="B1873" s="11" t="s">
        <v>1774</v>
      </c>
      <c r="C1873" s="11">
        <f xml:space="preserve">      1000</f>
        <v>1000</v>
      </c>
      <c r="D1873" s="11"/>
      <c r="E1873" s="17"/>
      <c r="F1873" s="12"/>
      <c r="G1873" s="8">
        <f t="shared" si="29"/>
        <v>0</v>
      </c>
      <c r="H1873" s="1"/>
    </row>
    <row r="1874" spans="1:8" ht="15.75" customHeight="1">
      <c r="A1874" s="6">
        <v>1870</v>
      </c>
      <c r="B1874" s="11" t="s">
        <v>1775</v>
      </c>
      <c r="C1874" s="11">
        <f xml:space="preserve">      2850</f>
        <v>2850</v>
      </c>
      <c r="D1874" s="11"/>
      <c r="E1874" s="17"/>
      <c r="F1874" s="12"/>
      <c r="G1874" s="8">
        <f t="shared" si="29"/>
        <v>0</v>
      </c>
      <c r="H1874" s="1"/>
    </row>
    <row r="1875" spans="1:8" ht="15.75" customHeight="1">
      <c r="A1875" s="6">
        <v>1871</v>
      </c>
      <c r="B1875" s="11" t="s">
        <v>1776</v>
      </c>
      <c r="C1875" s="11">
        <f xml:space="preserve">      3850</f>
        <v>3850</v>
      </c>
      <c r="D1875" s="11"/>
      <c r="E1875" s="17"/>
      <c r="F1875" s="12"/>
      <c r="G1875" s="8">
        <f t="shared" si="29"/>
        <v>0</v>
      </c>
      <c r="H1875" s="1"/>
    </row>
    <row r="1876" spans="1:8" ht="15.75" customHeight="1">
      <c r="A1876" s="6">
        <v>1872</v>
      </c>
      <c r="B1876" s="11" t="s">
        <v>1777</v>
      </c>
      <c r="C1876" s="11">
        <f xml:space="preserve">     24500</f>
        <v>24500</v>
      </c>
      <c r="D1876" s="11"/>
      <c r="E1876" s="17"/>
      <c r="F1876" s="12"/>
      <c r="G1876" s="8">
        <f t="shared" si="29"/>
        <v>0</v>
      </c>
      <c r="H1876" s="1"/>
    </row>
    <row r="1877" spans="1:8" ht="15.75" customHeight="1">
      <c r="A1877" s="6">
        <v>1873</v>
      </c>
      <c r="B1877" s="11" t="s">
        <v>1777</v>
      </c>
      <c r="C1877" s="11">
        <f xml:space="preserve">     24200</f>
        <v>24200</v>
      </c>
      <c r="D1877" s="11"/>
      <c r="E1877" s="17"/>
      <c r="F1877" s="12"/>
      <c r="G1877" s="8">
        <f t="shared" si="29"/>
        <v>0</v>
      </c>
      <c r="H1877" s="1"/>
    </row>
    <row r="1878" spans="1:8" ht="15.75" customHeight="1">
      <c r="A1878" s="6">
        <v>1874</v>
      </c>
      <c r="B1878" s="11" t="s">
        <v>1778</v>
      </c>
      <c r="C1878" s="11">
        <f xml:space="preserve">     23500</f>
        <v>23500</v>
      </c>
      <c r="D1878" s="11"/>
      <c r="E1878" s="17"/>
      <c r="F1878" s="12"/>
      <c r="G1878" s="8">
        <f t="shared" si="29"/>
        <v>0</v>
      </c>
      <c r="H1878" s="1"/>
    </row>
    <row r="1879" spans="1:8" ht="15.75" customHeight="1">
      <c r="A1879" s="6">
        <v>1875</v>
      </c>
      <c r="B1879" s="11" t="s">
        <v>1779</v>
      </c>
      <c r="C1879" s="11">
        <f xml:space="preserve">     12000</f>
        <v>12000</v>
      </c>
      <c r="D1879" s="11"/>
      <c r="E1879" s="17"/>
      <c r="F1879" s="12"/>
      <c r="G1879" s="8">
        <f t="shared" si="29"/>
        <v>0</v>
      </c>
      <c r="H1879" s="1"/>
    </row>
    <row r="1880" spans="1:8" ht="15.75" customHeight="1">
      <c r="A1880" s="6">
        <v>1876</v>
      </c>
      <c r="B1880" s="11" t="s">
        <v>1780</v>
      </c>
      <c r="C1880" s="11">
        <f xml:space="preserve">     42350</f>
        <v>42350</v>
      </c>
      <c r="D1880" s="11"/>
      <c r="E1880" s="17"/>
      <c r="F1880" s="12"/>
      <c r="G1880" s="8">
        <f t="shared" si="29"/>
        <v>0</v>
      </c>
      <c r="H1880" s="1"/>
    </row>
    <row r="1881" spans="1:8" ht="15.75" customHeight="1">
      <c r="A1881" s="6">
        <v>1877</v>
      </c>
      <c r="B1881" s="11" t="s">
        <v>1781</v>
      </c>
      <c r="C1881" s="11">
        <f xml:space="preserve">     27300</f>
        <v>27300</v>
      </c>
      <c r="D1881" s="11"/>
      <c r="E1881" s="17"/>
      <c r="F1881" s="12"/>
      <c r="G1881" s="8">
        <f t="shared" si="29"/>
        <v>0</v>
      </c>
      <c r="H1881" s="1"/>
    </row>
    <row r="1882" spans="1:8" ht="15.75" customHeight="1">
      <c r="A1882" s="6">
        <v>1878</v>
      </c>
      <c r="B1882" s="11" t="s">
        <v>1782</v>
      </c>
      <c r="C1882" s="11">
        <f xml:space="preserve">     27100</f>
        <v>27100</v>
      </c>
      <c r="D1882" s="11"/>
      <c r="E1882" s="17"/>
      <c r="F1882" s="12"/>
      <c r="G1882" s="8">
        <f t="shared" si="29"/>
        <v>0</v>
      </c>
      <c r="H1882" s="1"/>
    </row>
    <row r="1883" spans="1:8" ht="15.75" customHeight="1">
      <c r="A1883" s="6">
        <v>1879</v>
      </c>
      <c r="B1883" s="11" t="s">
        <v>1783</v>
      </c>
      <c r="C1883" s="11">
        <f xml:space="preserve">     60400</f>
        <v>60400</v>
      </c>
      <c r="D1883" s="11"/>
      <c r="E1883" s="17"/>
      <c r="F1883" s="12"/>
      <c r="G1883" s="8">
        <f t="shared" si="29"/>
        <v>0</v>
      </c>
      <c r="H1883" s="1"/>
    </row>
    <row r="1884" spans="1:8" ht="15.75" customHeight="1">
      <c r="A1884" s="6">
        <v>1880</v>
      </c>
      <c r="B1884" s="11" t="s">
        <v>1784</v>
      </c>
      <c r="C1884" s="11">
        <f xml:space="preserve">     36300</f>
        <v>36300</v>
      </c>
      <c r="D1884" s="11"/>
      <c r="E1884" s="17"/>
      <c r="F1884" s="12"/>
      <c r="G1884" s="8">
        <f t="shared" si="29"/>
        <v>0</v>
      </c>
      <c r="H1884" s="1"/>
    </row>
    <row r="1885" spans="1:8" ht="15.75" customHeight="1">
      <c r="A1885" s="6">
        <v>1881</v>
      </c>
      <c r="B1885" s="11" t="s">
        <v>1785</v>
      </c>
      <c r="C1885" s="11">
        <f xml:space="preserve">     23750</f>
        <v>23750</v>
      </c>
      <c r="D1885" s="11"/>
      <c r="E1885" s="17"/>
      <c r="F1885" s="12"/>
      <c r="G1885" s="8">
        <f t="shared" si="29"/>
        <v>0</v>
      </c>
      <c r="H1885" s="1"/>
    </row>
    <row r="1886" spans="1:8" ht="15.75" customHeight="1">
      <c r="A1886" s="6">
        <v>1882</v>
      </c>
      <c r="B1886" s="11" t="s">
        <v>1786</v>
      </c>
      <c r="C1886" s="11">
        <f xml:space="preserve">     30750</f>
        <v>30750</v>
      </c>
      <c r="D1886" s="11"/>
      <c r="E1886" s="17"/>
      <c r="F1886" s="12"/>
      <c r="G1886" s="8">
        <f t="shared" si="29"/>
        <v>0</v>
      </c>
      <c r="H1886" s="1"/>
    </row>
    <row r="1887" spans="1:8" ht="15.75" customHeight="1">
      <c r="A1887" s="6">
        <v>1883</v>
      </c>
      <c r="B1887" s="11" t="s">
        <v>1787</v>
      </c>
      <c r="C1887" s="11">
        <f xml:space="preserve">     19850</f>
        <v>19850</v>
      </c>
      <c r="D1887" s="11"/>
      <c r="E1887" s="17"/>
      <c r="F1887" s="12"/>
      <c r="G1887" s="8">
        <f t="shared" si="29"/>
        <v>0</v>
      </c>
      <c r="H1887" s="1"/>
    </row>
    <row r="1888" spans="1:8" ht="15.75" customHeight="1">
      <c r="A1888" s="6">
        <v>1884</v>
      </c>
      <c r="B1888" s="11" t="s">
        <v>1788</v>
      </c>
      <c r="C1888" s="11">
        <f xml:space="preserve">    196000</f>
        <v>196000</v>
      </c>
      <c r="D1888" s="11"/>
      <c r="E1888" s="17"/>
      <c r="F1888" s="12"/>
      <c r="G1888" s="8">
        <f t="shared" si="29"/>
        <v>0</v>
      </c>
      <c r="H1888" s="1"/>
    </row>
    <row r="1889" spans="1:8" ht="15.75" customHeight="1">
      <c r="A1889" s="6">
        <v>1885</v>
      </c>
      <c r="B1889" s="11" t="s">
        <v>1789</v>
      </c>
      <c r="C1889" s="11">
        <f xml:space="preserve">    100250</f>
        <v>100250</v>
      </c>
      <c r="D1889" s="11"/>
      <c r="E1889" s="17"/>
      <c r="F1889" s="12"/>
      <c r="G1889" s="8">
        <f t="shared" si="29"/>
        <v>0</v>
      </c>
      <c r="H1889" s="1"/>
    </row>
    <row r="1890" spans="1:8" ht="15.75" customHeight="1">
      <c r="A1890" s="6">
        <v>1886</v>
      </c>
      <c r="B1890" s="11" t="s">
        <v>1790</v>
      </c>
      <c r="C1890" s="11">
        <f xml:space="preserve">     38350</f>
        <v>38350</v>
      </c>
      <c r="D1890" s="11"/>
      <c r="E1890" s="17"/>
      <c r="F1890" s="12"/>
      <c r="G1890" s="8">
        <f t="shared" si="29"/>
        <v>0</v>
      </c>
      <c r="H1890" s="1"/>
    </row>
    <row r="1891" spans="1:8" ht="15.75" customHeight="1">
      <c r="A1891" s="6">
        <v>1887</v>
      </c>
      <c r="B1891" s="11" t="s">
        <v>1791</v>
      </c>
      <c r="C1891" s="11">
        <f xml:space="preserve">      1200</f>
        <v>1200</v>
      </c>
      <c r="D1891" s="11"/>
      <c r="E1891" s="17"/>
      <c r="F1891" s="12"/>
      <c r="G1891" s="8">
        <f t="shared" si="29"/>
        <v>0</v>
      </c>
      <c r="H1891" s="1"/>
    </row>
    <row r="1892" spans="1:8" ht="15.75" customHeight="1">
      <c r="A1892" s="6">
        <v>1888</v>
      </c>
      <c r="B1892" s="11" t="s">
        <v>1792</v>
      </c>
      <c r="C1892" s="11">
        <f xml:space="preserve">       970</f>
        <v>970</v>
      </c>
      <c r="D1892" s="11"/>
      <c r="E1892" s="17"/>
      <c r="F1892" s="12"/>
      <c r="G1892" s="8">
        <f t="shared" si="29"/>
        <v>0</v>
      </c>
      <c r="H1892" s="1"/>
    </row>
    <row r="1893" spans="1:8" ht="15.75" customHeight="1">
      <c r="A1893" s="6">
        <v>1889</v>
      </c>
      <c r="B1893" s="11" t="s">
        <v>1792</v>
      </c>
      <c r="C1893" s="11">
        <f xml:space="preserve">       970</f>
        <v>970</v>
      </c>
      <c r="D1893" s="11"/>
      <c r="E1893" s="17"/>
      <c r="F1893" s="12"/>
      <c r="G1893" s="8">
        <f t="shared" si="29"/>
        <v>0</v>
      </c>
      <c r="H1893" s="1"/>
    </row>
    <row r="1894" spans="1:8" ht="15.75" customHeight="1">
      <c r="A1894" s="6">
        <v>1890</v>
      </c>
      <c r="B1894" s="11" t="s">
        <v>1793</v>
      </c>
      <c r="C1894" s="11">
        <f xml:space="preserve">     32800</f>
        <v>32800</v>
      </c>
      <c r="D1894" s="11"/>
      <c r="E1894" s="17"/>
      <c r="F1894" s="12"/>
      <c r="G1894" s="8">
        <f t="shared" si="29"/>
        <v>0</v>
      </c>
      <c r="H1894" s="1"/>
    </row>
    <row r="1895" spans="1:8" ht="15.75" customHeight="1">
      <c r="A1895" s="6">
        <v>1891</v>
      </c>
      <c r="B1895" s="11" t="s">
        <v>1794</v>
      </c>
      <c r="C1895" s="11">
        <f xml:space="preserve">     35900</f>
        <v>35900</v>
      </c>
      <c r="D1895" s="11"/>
      <c r="E1895" s="17"/>
      <c r="F1895" s="12"/>
      <c r="G1895" s="8">
        <f t="shared" si="29"/>
        <v>0</v>
      </c>
      <c r="H1895" s="1"/>
    </row>
    <row r="1896" spans="1:8" ht="15.75" customHeight="1">
      <c r="A1896" s="6">
        <v>1892</v>
      </c>
      <c r="B1896" s="11" t="s">
        <v>1795</v>
      </c>
      <c r="C1896" s="11">
        <f xml:space="preserve">     46150</f>
        <v>46150</v>
      </c>
      <c r="D1896" s="11"/>
      <c r="E1896" s="17"/>
      <c r="F1896" s="12"/>
      <c r="G1896" s="8">
        <f t="shared" si="29"/>
        <v>0</v>
      </c>
      <c r="H1896" s="1"/>
    </row>
    <row r="1897" spans="1:8" ht="15.75" customHeight="1">
      <c r="A1897" s="6">
        <v>1893</v>
      </c>
      <c r="B1897" s="11" t="s">
        <v>1796</v>
      </c>
      <c r="C1897" s="11">
        <f xml:space="preserve">     47250</f>
        <v>47250</v>
      </c>
      <c r="D1897" s="11"/>
      <c r="E1897" s="17"/>
      <c r="F1897" s="12"/>
      <c r="G1897" s="8">
        <f t="shared" si="29"/>
        <v>0</v>
      </c>
      <c r="H1897" s="1"/>
    </row>
    <row r="1898" spans="1:8" ht="15.75" customHeight="1">
      <c r="A1898" s="6">
        <v>1894</v>
      </c>
      <c r="B1898" s="11" t="s">
        <v>1797</v>
      </c>
      <c r="C1898" s="11">
        <f xml:space="preserve">     64550</f>
        <v>64550</v>
      </c>
      <c r="D1898" s="11"/>
      <c r="E1898" s="17"/>
      <c r="F1898" s="12"/>
      <c r="G1898" s="8">
        <f t="shared" si="29"/>
        <v>0</v>
      </c>
      <c r="H1898" s="1"/>
    </row>
    <row r="1899" spans="1:8" ht="15.75" customHeight="1">
      <c r="A1899" s="6">
        <v>1895</v>
      </c>
      <c r="B1899" s="11" t="s">
        <v>1798</v>
      </c>
      <c r="C1899" s="11">
        <f xml:space="preserve">     78650</f>
        <v>78650</v>
      </c>
      <c r="D1899" s="11"/>
      <c r="E1899" s="17"/>
      <c r="F1899" s="12"/>
      <c r="G1899" s="8">
        <f t="shared" si="29"/>
        <v>0</v>
      </c>
      <c r="H1899" s="1"/>
    </row>
    <row r="1900" spans="1:8" ht="15.75" customHeight="1">
      <c r="A1900" s="6">
        <v>1896</v>
      </c>
      <c r="B1900" s="11" t="s">
        <v>1799</v>
      </c>
      <c r="C1900" s="11">
        <f xml:space="preserve">      1900</f>
        <v>1900</v>
      </c>
      <c r="D1900" s="11"/>
      <c r="E1900" s="17"/>
      <c r="F1900" s="12"/>
      <c r="G1900" s="8">
        <f t="shared" si="29"/>
        <v>0</v>
      </c>
      <c r="H1900" s="1"/>
    </row>
    <row r="1901" spans="1:8" ht="15.75" customHeight="1">
      <c r="A1901" s="6">
        <v>1897</v>
      </c>
      <c r="B1901" s="11" t="s">
        <v>1800</v>
      </c>
      <c r="C1901" s="11">
        <f xml:space="preserve">    302500</f>
        <v>302500</v>
      </c>
      <c r="D1901" s="11"/>
      <c r="E1901" s="17"/>
      <c r="F1901" s="12"/>
      <c r="G1901" s="8">
        <f t="shared" si="29"/>
        <v>0</v>
      </c>
      <c r="H1901" s="1"/>
    </row>
    <row r="1902" spans="1:8" ht="15.75" customHeight="1">
      <c r="A1902" s="6">
        <v>1898</v>
      </c>
      <c r="B1902" s="11" t="s">
        <v>1801</v>
      </c>
      <c r="C1902" s="11">
        <f xml:space="preserve">    141500</f>
        <v>141500</v>
      </c>
      <c r="D1902" s="11"/>
      <c r="E1902" s="17"/>
      <c r="F1902" s="12"/>
      <c r="G1902" s="8">
        <f t="shared" si="29"/>
        <v>0</v>
      </c>
      <c r="H1902" s="1"/>
    </row>
    <row r="1903" spans="1:8" ht="15.75" customHeight="1">
      <c r="A1903" s="6">
        <v>1899</v>
      </c>
      <c r="B1903" s="11" t="s">
        <v>1802</v>
      </c>
      <c r="C1903" s="11">
        <f xml:space="preserve">     39650</f>
        <v>39650</v>
      </c>
      <c r="D1903" s="11"/>
      <c r="E1903" s="17"/>
      <c r="F1903" s="12"/>
      <c r="G1903" s="8">
        <f t="shared" si="29"/>
        <v>0</v>
      </c>
      <c r="H1903" s="1"/>
    </row>
    <row r="1904" spans="1:8" ht="15.75" customHeight="1">
      <c r="A1904" s="6">
        <v>1900</v>
      </c>
      <c r="B1904" s="11" t="s">
        <v>1803</v>
      </c>
      <c r="C1904" s="11">
        <f xml:space="preserve">     50700</f>
        <v>50700</v>
      </c>
      <c r="D1904" s="11"/>
      <c r="E1904" s="17"/>
      <c r="F1904" s="12"/>
      <c r="G1904" s="8">
        <f t="shared" si="29"/>
        <v>0</v>
      </c>
      <c r="H1904" s="1"/>
    </row>
    <row r="1905" spans="1:8" ht="15.75" customHeight="1">
      <c r="A1905" s="6">
        <v>1901</v>
      </c>
      <c r="B1905" s="11" t="s">
        <v>1804</v>
      </c>
      <c r="C1905" s="11">
        <f xml:space="preserve">     35400</f>
        <v>35400</v>
      </c>
      <c r="D1905" s="11"/>
      <c r="E1905" s="17"/>
      <c r="F1905" s="12"/>
      <c r="G1905" s="8">
        <f t="shared" si="29"/>
        <v>0</v>
      </c>
      <c r="H1905" s="1"/>
    </row>
    <row r="1906" spans="1:8" ht="15.75" customHeight="1">
      <c r="A1906" s="6">
        <v>1902</v>
      </c>
      <c r="B1906" s="11" t="s">
        <v>1805</v>
      </c>
      <c r="C1906" s="11">
        <f xml:space="preserve">     61600</f>
        <v>61600</v>
      </c>
      <c r="D1906" s="11"/>
      <c r="E1906" s="17"/>
      <c r="F1906" s="12"/>
      <c r="G1906" s="8">
        <f t="shared" si="29"/>
        <v>0</v>
      </c>
      <c r="H1906" s="1"/>
    </row>
    <row r="1907" spans="1:8" ht="15.75" customHeight="1">
      <c r="A1907" s="6">
        <v>1903</v>
      </c>
      <c r="B1907" s="11" t="s">
        <v>1806</v>
      </c>
      <c r="C1907" s="11">
        <f xml:space="preserve">     37500</f>
        <v>37500</v>
      </c>
      <c r="D1907" s="11"/>
      <c r="E1907" s="17"/>
      <c r="F1907" s="12"/>
      <c r="G1907" s="8">
        <f t="shared" si="29"/>
        <v>0</v>
      </c>
      <c r="H1907" s="1"/>
    </row>
    <row r="1908" spans="1:8" ht="15.75" customHeight="1">
      <c r="A1908" s="6">
        <v>1904</v>
      </c>
      <c r="B1908" s="11" t="s">
        <v>1807</v>
      </c>
      <c r="C1908" s="11">
        <f xml:space="preserve">     21800</f>
        <v>21800</v>
      </c>
      <c r="D1908" s="11"/>
      <c r="E1908" s="17"/>
      <c r="F1908" s="12"/>
      <c r="G1908" s="8">
        <f t="shared" si="29"/>
        <v>0</v>
      </c>
      <c r="H1908" s="1"/>
    </row>
    <row r="1909" spans="1:8" ht="15.75" customHeight="1">
      <c r="A1909" s="6">
        <v>1905</v>
      </c>
      <c r="B1909" s="11" t="s">
        <v>1808</v>
      </c>
      <c r="C1909" s="11">
        <f xml:space="preserve">      7900</f>
        <v>7900</v>
      </c>
      <c r="D1909" s="11"/>
      <c r="E1909" s="17"/>
      <c r="F1909" s="12"/>
      <c r="G1909" s="8">
        <f t="shared" si="29"/>
        <v>0</v>
      </c>
      <c r="H1909" s="1"/>
    </row>
    <row r="1910" spans="1:8" ht="15.75" customHeight="1">
      <c r="A1910" s="6">
        <v>1906</v>
      </c>
      <c r="B1910" s="11" t="s">
        <v>1809</v>
      </c>
      <c r="C1910" s="11">
        <f xml:space="preserve">     12000</f>
        <v>12000</v>
      </c>
      <c r="D1910" s="11"/>
      <c r="E1910" s="17"/>
      <c r="F1910" s="12"/>
      <c r="G1910" s="8">
        <f t="shared" si="29"/>
        <v>0</v>
      </c>
      <c r="H1910" s="1"/>
    </row>
    <row r="1911" spans="1:8" ht="15.75" customHeight="1">
      <c r="A1911" s="6">
        <v>1907</v>
      </c>
      <c r="B1911" s="11" t="s">
        <v>1810</v>
      </c>
      <c r="C1911" s="11">
        <f xml:space="preserve">     60500</f>
        <v>60500</v>
      </c>
      <c r="D1911" s="11"/>
      <c r="E1911" s="17"/>
      <c r="F1911" s="12"/>
      <c r="G1911" s="8">
        <f t="shared" si="29"/>
        <v>0</v>
      </c>
      <c r="H1911" s="1"/>
    </row>
    <row r="1912" spans="1:8" ht="15.75" customHeight="1">
      <c r="A1912" s="6">
        <v>1908</v>
      </c>
      <c r="B1912" s="11" t="s">
        <v>1811</v>
      </c>
      <c r="C1912" s="11">
        <f xml:space="preserve">      2250</f>
        <v>2250</v>
      </c>
      <c r="D1912" s="11"/>
      <c r="E1912" s="17"/>
      <c r="F1912" s="12"/>
      <c r="G1912" s="8">
        <f t="shared" si="29"/>
        <v>0</v>
      </c>
      <c r="H1912" s="1"/>
    </row>
    <row r="1913" spans="1:8" ht="15.75" customHeight="1">
      <c r="A1913" s="6">
        <v>1909</v>
      </c>
      <c r="B1913" s="11" t="s">
        <v>1812</v>
      </c>
      <c r="C1913" s="11">
        <f xml:space="preserve">      2250</f>
        <v>2250</v>
      </c>
      <c r="D1913" s="11"/>
      <c r="E1913" s="17"/>
      <c r="F1913" s="12"/>
      <c r="G1913" s="8">
        <f t="shared" si="29"/>
        <v>0</v>
      </c>
      <c r="H1913" s="1"/>
    </row>
    <row r="1914" spans="1:8" ht="15.75" customHeight="1">
      <c r="A1914" s="6">
        <v>1910</v>
      </c>
      <c r="B1914" s="11" t="s">
        <v>1812</v>
      </c>
      <c r="C1914" s="11">
        <f xml:space="preserve">      2250</f>
        <v>2250</v>
      </c>
      <c r="D1914" s="11"/>
      <c r="E1914" s="17"/>
      <c r="F1914" s="12"/>
      <c r="G1914" s="8">
        <f t="shared" si="29"/>
        <v>0</v>
      </c>
      <c r="H1914" s="1"/>
    </row>
    <row r="1915" spans="1:8" ht="15.75" customHeight="1">
      <c r="A1915" s="6">
        <v>1911</v>
      </c>
      <c r="B1915" s="11" t="s">
        <v>1813</v>
      </c>
      <c r="C1915" s="11">
        <f xml:space="preserve">    104400</f>
        <v>104400</v>
      </c>
      <c r="D1915" s="11"/>
      <c r="E1915" s="17"/>
      <c r="F1915" s="12"/>
      <c r="G1915" s="8">
        <f t="shared" si="29"/>
        <v>0</v>
      </c>
      <c r="H1915" s="1"/>
    </row>
    <row r="1916" spans="1:8" ht="15.75" customHeight="1">
      <c r="A1916" s="6">
        <v>1912</v>
      </c>
      <c r="B1916" s="11" t="s">
        <v>1814</v>
      </c>
      <c r="C1916" s="11">
        <f xml:space="preserve">     80000</f>
        <v>80000</v>
      </c>
      <c r="D1916" s="11"/>
      <c r="E1916" s="17"/>
      <c r="F1916" s="12"/>
      <c r="G1916" s="8">
        <f t="shared" si="29"/>
        <v>0</v>
      </c>
      <c r="H1916" s="1"/>
    </row>
    <row r="1917" spans="1:8" ht="15.75" customHeight="1">
      <c r="A1917" s="6">
        <v>1913</v>
      </c>
      <c r="B1917" s="11" t="s">
        <v>1815</v>
      </c>
      <c r="C1917" s="11">
        <f xml:space="preserve">     89100</f>
        <v>89100</v>
      </c>
      <c r="D1917" s="11"/>
      <c r="E1917" s="17"/>
      <c r="F1917" s="12"/>
      <c r="G1917" s="8">
        <f t="shared" si="29"/>
        <v>0</v>
      </c>
      <c r="H1917" s="1"/>
    </row>
    <row r="1918" spans="1:8" ht="15.75" customHeight="1">
      <c r="A1918" s="6">
        <v>1914</v>
      </c>
      <c r="B1918" s="11" t="s">
        <v>1816</v>
      </c>
      <c r="C1918" s="11">
        <f xml:space="preserve">     18250</f>
        <v>18250</v>
      </c>
      <c r="D1918" s="11"/>
      <c r="E1918" s="17"/>
      <c r="F1918" s="12"/>
      <c r="G1918" s="8">
        <f t="shared" ref="G1918:G1981" si="30">C1918*D1918+E1918*F1918</f>
        <v>0</v>
      </c>
      <c r="H1918" s="1"/>
    </row>
    <row r="1919" spans="1:8" ht="15.75" customHeight="1">
      <c r="A1919" s="6">
        <v>1915</v>
      </c>
      <c r="B1919" s="11" t="s">
        <v>1817</v>
      </c>
      <c r="C1919" s="11">
        <f xml:space="preserve">     28400</f>
        <v>28400</v>
      </c>
      <c r="D1919" s="11"/>
      <c r="E1919" s="17"/>
      <c r="F1919" s="12"/>
      <c r="G1919" s="8">
        <f t="shared" si="30"/>
        <v>0</v>
      </c>
      <c r="H1919" s="1"/>
    </row>
    <row r="1920" spans="1:8" ht="15.75" customHeight="1">
      <c r="A1920" s="6">
        <v>1916</v>
      </c>
      <c r="B1920" s="11" t="s">
        <v>1818</v>
      </c>
      <c r="C1920" s="11">
        <f xml:space="preserve">     50200</f>
        <v>50200</v>
      </c>
      <c r="D1920" s="11"/>
      <c r="E1920" s="17"/>
      <c r="F1920" s="12"/>
      <c r="G1920" s="8">
        <f t="shared" si="30"/>
        <v>0</v>
      </c>
      <c r="H1920" s="1"/>
    </row>
    <row r="1921" spans="1:8" ht="15.75" customHeight="1">
      <c r="A1921" s="6">
        <v>1917</v>
      </c>
      <c r="B1921" s="11" t="s">
        <v>1819</v>
      </c>
      <c r="C1921" s="11">
        <f xml:space="preserve">      6150</f>
        <v>6150</v>
      </c>
      <c r="D1921" s="11"/>
      <c r="E1921" s="17"/>
      <c r="F1921" s="12"/>
      <c r="G1921" s="8">
        <f t="shared" si="30"/>
        <v>0</v>
      </c>
      <c r="H1921" s="1"/>
    </row>
    <row r="1922" spans="1:8" ht="15.75" customHeight="1">
      <c r="A1922" s="6">
        <v>1918</v>
      </c>
      <c r="B1922" s="11" t="s">
        <v>1820</v>
      </c>
      <c r="C1922" s="11">
        <f xml:space="preserve">     10600</f>
        <v>10600</v>
      </c>
      <c r="D1922" s="11"/>
      <c r="E1922" s="17"/>
      <c r="F1922" s="12"/>
      <c r="G1922" s="8">
        <f t="shared" si="30"/>
        <v>0</v>
      </c>
      <c r="H1922" s="1"/>
    </row>
    <row r="1923" spans="1:8" ht="15.75" customHeight="1">
      <c r="A1923" s="6">
        <v>1919</v>
      </c>
      <c r="B1923" s="11" t="s">
        <v>1821</v>
      </c>
      <c r="C1923" s="11">
        <f xml:space="preserve">      3650</f>
        <v>3650</v>
      </c>
      <c r="D1923" s="11"/>
      <c r="E1923" s="17"/>
      <c r="F1923" s="12"/>
      <c r="G1923" s="8">
        <f t="shared" si="30"/>
        <v>0</v>
      </c>
      <c r="H1923" s="1"/>
    </row>
    <row r="1924" spans="1:8" ht="15.75" customHeight="1">
      <c r="A1924" s="6">
        <v>1920</v>
      </c>
      <c r="B1924" s="11" t="s">
        <v>1822</v>
      </c>
      <c r="C1924" s="11">
        <f xml:space="preserve">     58500</f>
        <v>58500</v>
      </c>
      <c r="D1924" s="11"/>
      <c r="E1924" s="17"/>
      <c r="F1924" s="12"/>
      <c r="G1924" s="8">
        <f t="shared" si="30"/>
        <v>0</v>
      </c>
      <c r="H1924" s="1"/>
    </row>
    <row r="1925" spans="1:8" ht="15.75" customHeight="1">
      <c r="A1925" s="6">
        <v>1921</v>
      </c>
      <c r="B1925" s="11" t="s">
        <v>1823</v>
      </c>
      <c r="C1925" s="11">
        <f xml:space="preserve">     39250</f>
        <v>39250</v>
      </c>
      <c r="D1925" s="11"/>
      <c r="E1925" s="17"/>
      <c r="F1925" s="12"/>
      <c r="G1925" s="8">
        <f t="shared" si="30"/>
        <v>0</v>
      </c>
      <c r="H1925" s="1"/>
    </row>
    <row r="1926" spans="1:8" ht="15.75" customHeight="1">
      <c r="A1926" s="6">
        <v>1922</v>
      </c>
      <c r="B1926" s="11" t="s">
        <v>1824</v>
      </c>
      <c r="C1926" s="11">
        <f xml:space="preserve">     64200</f>
        <v>64200</v>
      </c>
      <c r="D1926" s="11"/>
      <c r="E1926" s="17"/>
      <c r="F1926" s="12"/>
      <c r="G1926" s="8">
        <f t="shared" si="30"/>
        <v>0</v>
      </c>
      <c r="H1926" s="1"/>
    </row>
    <row r="1927" spans="1:8" ht="15.75" customHeight="1">
      <c r="A1927" s="6">
        <v>1923</v>
      </c>
      <c r="B1927" s="11" t="s">
        <v>1825</v>
      </c>
      <c r="C1927" s="11">
        <f xml:space="preserve">     61400</f>
        <v>61400</v>
      </c>
      <c r="D1927" s="11"/>
      <c r="E1927" s="17"/>
      <c r="F1927" s="12"/>
      <c r="G1927" s="8">
        <f t="shared" si="30"/>
        <v>0</v>
      </c>
      <c r="H1927" s="1"/>
    </row>
    <row r="1928" spans="1:8" ht="15.75" customHeight="1">
      <c r="A1928" s="6">
        <v>1924</v>
      </c>
      <c r="B1928" s="11" t="s">
        <v>1826</v>
      </c>
      <c r="C1928" s="11">
        <f xml:space="preserve">     59850</f>
        <v>59850</v>
      </c>
      <c r="D1928" s="11"/>
      <c r="E1928" s="17"/>
      <c r="F1928" s="12"/>
      <c r="G1928" s="8">
        <f t="shared" si="30"/>
        <v>0</v>
      </c>
      <c r="H1928" s="1"/>
    </row>
    <row r="1929" spans="1:8" ht="15.75" customHeight="1">
      <c r="A1929" s="6">
        <v>1925</v>
      </c>
      <c r="B1929" s="11" t="s">
        <v>1827</v>
      </c>
      <c r="C1929" s="11">
        <f xml:space="preserve">     44350</f>
        <v>44350</v>
      </c>
      <c r="D1929" s="11"/>
      <c r="E1929" s="17"/>
      <c r="F1929" s="12"/>
      <c r="G1929" s="8">
        <f t="shared" si="30"/>
        <v>0</v>
      </c>
      <c r="H1929" s="1"/>
    </row>
    <row r="1930" spans="1:8" ht="15.75" customHeight="1">
      <c r="A1930" s="6">
        <v>1926</v>
      </c>
      <c r="B1930" s="11" t="s">
        <v>1828</v>
      </c>
      <c r="C1930" s="11">
        <f xml:space="preserve">     56350</f>
        <v>56350</v>
      </c>
      <c r="D1930" s="11"/>
      <c r="E1930" s="17"/>
      <c r="F1930" s="12"/>
      <c r="G1930" s="8">
        <f t="shared" si="30"/>
        <v>0</v>
      </c>
      <c r="H1930" s="1"/>
    </row>
    <row r="1931" spans="1:8" ht="15.75" customHeight="1">
      <c r="A1931" s="6">
        <v>1927</v>
      </c>
      <c r="B1931" s="11" t="s">
        <v>1829</v>
      </c>
      <c r="C1931" s="11">
        <f xml:space="preserve">     10350</f>
        <v>10350</v>
      </c>
      <c r="D1931" s="11"/>
      <c r="E1931" s="17"/>
      <c r="F1931" s="12"/>
      <c r="G1931" s="8">
        <f t="shared" si="30"/>
        <v>0</v>
      </c>
      <c r="H1931" s="1"/>
    </row>
    <row r="1932" spans="1:8" ht="15.75" customHeight="1">
      <c r="A1932" s="6">
        <v>1928</v>
      </c>
      <c r="B1932" s="11" t="s">
        <v>1830</v>
      </c>
      <c r="C1932" s="11">
        <f xml:space="preserve">     39250</f>
        <v>39250</v>
      </c>
      <c r="D1932" s="11"/>
      <c r="E1932" s="17"/>
      <c r="F1932" s="12"/>
      <c r="G1932" s="8">
        <f t="shared" si="30"/>
        <v>0</v>
      </c>
      <c r="H1932" s="1"/>
    </row>
    <row r="1933" spans="1:8" ht="15.75" customHeight="1">
      <c r="A1933" s="6">
        <v>1929</v>
      </c>
      <c r="B1933" s="11" t="s">
        <v>1831</v>
      </c>
      <c r="C1933" s="11">
        <f xml:space="preserve">     45500</f>
        <v>45500</v>
      </c>
      <c r="D1933" s="11"/>
      <c r="E1933" s="17"/>
      <c r="F1933" s="12"/>
      <c r="G1933" s="8">
        <f t="shared" si="30"/>
        <v>0</v>
      </c>
      <c r="H1933" s="1"/>
    </row>
    <row r="1934" spans="1:8" ht="15.75" customHeight="1">
      <c r="A1934" s="6">
        <v>1930</v>
      </c>
      <c r="B1934" s="11" t="s">
        <v>1832</v>
      </c>
      <c r="C1934" s="11">
        <f xml:space="preserve">     64000</f>
        <v>64000</v>
      </c>
      <c r="D1934" s="11"/>
      <c r="E1934" s="17"/>
      <c r="F1934" s="12"/>
      <c r="G1934" s="8">
        <f t="shared" si="30"/>
        <v>0</v>
      </c>
      <c r="H1934" s="1"/>
    </row>
    <row r="1935" spans="1:8" ht="15.75" customHeight="1">
      <c r="A1935" s="6">
        <v>1931</v>
      </c>
      <c r="B1935" s="11" t="s">
        <v>2482</v>
      </c>
      <c r="C1935" s="11">
        <f xml:space="preserve">     54900</f>
        <v>54900</v>
      </c>
      <c r="D1935" s="11"/>
      <c r="E1935" s="17"/>
      <c r="F1935" s="12"/>
      <c r="G1935" s="8">
        <f t="shared" si="30"/>
        <v>0</v>
      </c>
      <c r="H1935" s="1"/>
    </row>
    <row r="1936" spans="1:8" ht="15.75" customHeight="1">
      <c r="A1936" s="6">
        <v>1932</v>
      </c>
      <c r="B1936" s="11" t="s">
        <v>1833</v>
      </c>
      <c r="C1936" s="11">
        <f xml:space="preserve">      1650</f>
        <v>1650</v>
      </c>
      <c r="D1936" s="11"/>
      <c r="E1936" s="17"/>
      <c r="F1936" s="12"/>
      <c r="G1936" s="8">
        <f t="shared" si="30"/>
        <v>0</v>
      </c>
      <c r="H1936" s="1"/>
    </row>
    <row r="1937" spans="1:8" ht="15.75" customHeight="1">
      <c r="A1937" s="6">
        <v>1933</v>
      </c>
      <c r="B1937" s="11" t="s">
        <v>1833</v>
      </c>
      <c r="C1937" s="11">
        <f xml:space="preserve">      1650</f>
        <v>1650</v>
      </c>
      <c r="D1937" s="11"/>
      <c r="E1937" s="17"/>
      <c r="F1937" s="12"/>
      <c r="G1937" s="8">
        <f t="shared" si="30"/>
        <v>0</v>
      </c>
      <c r="H1937" s="1"/>
    </row>
    <row r="1938" spans="1:8" ht="15.75" customHeight="1">
      <c r="A1938" s="6">
        <v>1934</v>
      </c>
      <c r="B1938" s="11" t="s">
        <v>1834</v>
      </c>
      <c r="C1938" s="11">
        <f xml:space="preserve">      1530</f>
        <v>1530</v>
      </c>
      <c r="D1938" s="11"/>
      <c r="E1938" s="17"/>
      <c r="F1938" s="12"/>
      <c r="G1938" s="8">
        <f t="shared" si="30"/>
        <v>0</v>
      </c>
      <c r="H1938" s="1"/>
    </row>
    <row r="1939" spans="1:8" ht="15.75" customHeight="1">
      <c r="A1939" s="6">
        <v>1935</v>
      </c>
      <c r="B1939" s="11" t="s">
        <v>1835</v>
      </c>
      <c r="C1939" s="11">
        <f xml:space="preserve">      2550</f>
        <v>2550</v>
      </c>
      <c r="D1939" s="11"/>
      <c r="E1939" s="17"/>
      <c r="F1939" s="12"/>
      <c r="G1939" s="8">
        <f t="shared" si="30"/>
        <v>0</v>
      </c>
      <c r="H1939" s="1"/>
    </row>
    <row r="1940" spans="1:8" ht="15.75" customHeight="1">
      <c r="A1940" s="6">
        <v>1936</v>
      </c>
      <c r="B1940" s="11" t="s">
        <v>1836</v>
      </c>
      <c r="C1940" s="11">
        <f xml:space="preserve">      2150</f>
        <v>2150</v>
      </c>
      <c r="D1940" s="11"/>
      <c r="E1940" s="17"/>
      <c r="F1940" s="12"/>
      <c r="G1940" s="8">
        <f t="shared" si="30"/>
        <v>0</v>
      </c>
      <c r="H1940" s="1"/>
    </row>
    <row r="1941" spans="1:8" ht="15.75" customHeight="1">
      <c r="A1941" s="6">
        <v>1937</v>
      </c>
      <c r="B1941" s="11" t="s">
        <v>1837</v>
      </c>
      <c r="C1941" s="11">
        <f xml:space="preserve">      2200</f>
        <v>2200</v>
      </c>
      <c r="D1941" s="11"/>
      <c r="E1941" s="17"/>
      <c r="F1941" s="12"/>
      <c r="G1941" s="8">
        <f t="shared" si="30"/>
        <v>0</v>
      </c>
      <c r="H1941" s="1"/>
    </row>
    <row r="1942" spans="1:8" ht="15.75" customHeight="1">
      <c r="A1942" s="6">
        <v>1938</v>
      </c>
      <c r="B1942" s="11" t="s">
        <v>1838</v>
      </c>
      <c r="C1942" s="11">
        <f xml:space="preserve">      3500</f>
        <v>3500</v>
      </c>
      <c r="D1942" s="11"/>
      <c r="E1942" s="17"/>
      <c r="F1942" s="12"/>
      <c r="G1942" s="8">
        <f t="shared" si="30"/>
        <v>0</v>
      </c>
      <c r="H1942" s="1"/>
    </row>
    <row r="1943" spans="1:8" ht="15.75" customHeight="1">
      <c r="A1943" s="6">
        <v>1939</v>
      </c>
      <c r="B1943" s="11" t="s">
        <v>1839</v>
      </c>
      <c r="C1943" s="11">
        <f xml:space="preserve">     16300</f>
        <v>16300</v>
      </c>
      <c r="D1943" s="11"/>
      <c r="E1943" s="17"/>
      <c r="F1943" s="12"/>
      <c r="G1943" s="8">
        <f t="shared" si="30"/>
        <v>0</v>
      </c>
      <c r="H1943" s="1"/>
    </row>
    <row r="1944" spans="1:8" ht="15.75" customHeight="1">
      <c r="A1944" s="6">
        <v>1940</v>
      </c>
      <c r="B1944" s="11" t="s">
        <v>1840</v>
      </c>
      <c r="C1944" s="11">
        <f xml:space="preserve">     27450</f>
        <v>27450</v>
      </c>
      <c r="D1944" s="11"/>
      <c r="E1944" s="17"/>
      <c r="F1944" s="12"/>
      <c r="G1944" s="8">
        <f t="shared" si="30"/>
        <v>0</v>
      </c>
      <c r="H1944" s="1"/>
    </row>
    <row r="1945" spans="1:8" ht="15.75" customHeight="1">
      <c r="A1945" s="6">
        <v>1941</v>
      </c>
      <c r="B1945" s="11" t="s">
        <v>1840</v>
      </c>
      <c r="C1945" s="11">
        <f xml:space="preserve">     27450</f>
        <v>27450</v>
      </c>
      <c r="D1945" s="11"/>
      <c r="E1945" s="17"/>
      <c r="F1945" s="12"/>
      <c r="G1945" s="8">
        <f t="shared" si="30"/>
        <v>0</v>
      </c>
      <c r="H1945" s="1"/>
    </row>
    <row r="1946" spans="1:8" ht="15.75" customHeight="1">
      <c r="A1946" s="6">
        <v>1942</v>
      </c>
      <c r="B1946" s="11" t="s">
        <v>1841</v>
      </c>
      <c r="C1946" s="11">
        <f xml:space="preserve">     31600</f>
        <v>31600</v>
      </c>
      <c r="D1946" s="11"/>
      <c r="E1946" s="17"/>
      <c r="F1946" s="12"/>
      <c r="G1946" s="8">
        <f t="shared" si="30"/>
        <v>0</v>
      </c>
      <c r="H1946" s="1"/>
    </row>
    <row r="1947" spans="1:8" ht="15.75" customHeight="1">
      <c r="A1947" s="6">
        <v>1943</v>
      </c>
      <c r="B1947" s="11" t="s">
        <v>1842</v>
      </c>
      <c r="C1947" s="11">
        <f xml:space="preserve">      1900</f>
        <v>1900</v>
      </c>
      <c r="D1947" s="11"/>
      <c r="E1947" s="17"/>
      <c r="F1947" s="12"/>
      <c r="G1947" s="8">
        <f t="shared" si="30"/>
        <v>0</v>
      </c>
      <c r="H1947" s="1"/>
    </row>
    <row r="1948" spans="1:8" ht="15.75" customHeight="1">
      <c r="A1948" s="6">
        <v>1944</v>
      </c>
      <c r="B1948" s="11" t="s">
        <v>1843</v>
      </c>
      <c r="C1948" s="11">
        <f xml:space="preserve">      2360</f>
        <v>2360</v>
      </c>
      <c r="D1948" s="11"/>
      <c r="E1948" s="17"/>
      <c r="F1948" s="12"/>
      <c r="G1948" s="8">
        <f t="shared" si="30"/>
        <v>0</v>
      </c>
      <c r="H1948" s="1"/>
    </row>
    <row r="1949" spans="1:8" ht="15.75" customHeight="1">
      <c r="A1949" s="6">
        <v>1945</v>
      </c>
      <c r="B1949" s="11" t="s">
        <v>1844</v>
      </c>
      <c r="C1949" s="11">
        <f xml:space="preserve">    118850</f>
        <v>118850</v>
      </c>
      <c r="D1949" s="11"/>
      <c r="E1949" s="17"/>
      <c r="F1949" s="12"/>
      <c r="G1949" s="8">
        <f t="shared" si="30"/>
        <v>0</v>
      </c>
      <c r="H1949" s="1"/>
    </row>
    <row r="1950" spans="1:8" ht="15.75" customHeight="1">
      <c r="A1950" s="6">
        <v>1946</v>
      </c>
      <c r="B1950" s="11" t="s">
        <v>1844</v>
      </c>
      <c r="C1950" s="11">
        <f xml:space="preserve">    120350</f>
        <v>120350</v>
      </c>
      <c r="D1950" s="11"/>
      <c r="E1950" s="17"/>
      <c r="F1950" s="12"/>
      <c r="G1950" s="8">
        <f t="shared" si="30"/>
        <v>0</v>
      </c>
      <c r="H1950" s="1"/>
    </row>
    <row r="1951" spans="1:8" ht="15.75" customHeight="1">
      <c r="A1951" s="6">
        <v>1947</v>
      </c>
      <c r="B1951" s="11" t="s">
        <v>1845</v>
      </c>
      <c r="C1951" s="11">
        <f xml:space="preserve">     81100</f>
        <v>81100</v>
      </c>
      <c r="D1951" s="11"/>
      <c r="E1951" s="17"/>
      <c r="F1951" s="12"/>
      <c r="G1951" s="8">
        <f t="shared" si="30"/>
        <v>0</v>
      </c>
      <c r="H1951" s="1"/>
    </row>
    <row r="1952" spans="1:8" ht="15.75" customHeight="1">
      <c r="A1952" s="6">
        <v>1948</v>
      </c>
      <c r="B1952" s="11" t="s">
        <v>1846</v>
      </c>
      <c r="C1952" s="11">
        <f xml:space="preserve">     40150</f>
        <v>40150</v>
      </c>
      <c r="D1952" s="11"/>
      <c r="E1952" s="17"/>
      <c r="F1952" s="12"/>
      <c r="G1952" s="8">
        <f t="shared" si="30"/>
        <v>0</v>
      </c>
      <c r="H1952" s="1"/>
    </row>
    <row r="1953" spans="1:8" ht="15.75" customHeight="1">
      <c r="A1953" s="6">
        <v>1949</v>
      </c>
      <c r="B1953" s="11" t="s">
        <v>1847</v>
      </c>
      <c r="C1953" s="11">
        <f xml:space="preserve">     49500</f>
        <v>49500</v>
      </c>
      <c r="D1953" s="11"/>
      <c r="E1953" s="17"/>
      <c r="F1953" s="12"/>
      <c r="G1953" s="8">
        <f t="shared" si="30"/>
        <v>0</v>
      </c>
      <c r="H1953" s="1"/>
    </row>
    <row r="1954" spans="1:8" ht="15.75" customHeight="1">
      <c r="A1954" s="6">
        <v>1950</v>
      </c>
      <c r="B1954" s="11" t="s">
        <v>1848</v>
      </c>
      <c r="C1954" s="11">
        <f xml:space="preserve">      6100</f>
        <v>6100</v>
      </c>
      <c r="D1954" s="11"/>
      <c r="E1954" s="17"/>
      <c r="F1954" s="12"/>
      <c r="G1954" s="8">
        <f t="shared" si="30"/>
        <v>0</v>
      </c>
      <c r="H1954" s="1"/>
    </row>
    <row r="1955" spans="1:8" ht="15.75" customHeight="1">
      <c r="A1955" s="6">
        <v>1951</v>
      </c>
      <c r="B1955" s="11" t="s">
        <v>1849</v>
      </c>
      <c r="C1955" s="11">
        <f xml:space="preserve">     33600</f>
        <v>33600</v>
      </c>
      <c r="D1955" s="11"/>
      <c r="E1955" s="17"/>
      <c r="F1955" s="12"/>
      <c r="G1955" s="8">
        <f t="shared" si="30"/>
        <v>0</v>
      </c>
      <c r="H1955" s="1"/>
    </row>
    <row r="1956" spans="1:8" ht="15.75" customHeight="1">
      <c r="A1956" s="6">
        <v>1952</v>
      </c>
      <c r="B1956" s="11" t="s">
        <v>1850</v>
      </c>
      <c r="C1956" s="11">
        <f xml:space="preserve">      3300</f>
        <v>3300</v>
      </c>
      <c r="D1956" s="11"/>
      <c r="E1956" s="17"/>
      <c r="F1956" s="12"/>
      <c r="G1956" s="8">
        <f t="shared" si="30"/>
        <v>0</v>
      </c>
      <c r="H1956" s="1"/>
    </row>
    <row r="1957" spans="1:8" ht="15.75" customHeight="1">
      <c r="A1957" s="6">
        <v>1953</v>
      </c>
      <c r="B1957" s="11" t="s">
        <v>1851</v>
      </c>
      <c r="C1957" s="11">
        <f xml:space="preserve">      5100</f>
        <v>5100</v>
      </c>
      <c r="D1957" s="11"/>
      <c r="E1957" s="17"/>
      <c r="F1957" s="12"/>
      <c r="G1957" s="8">
        <f t="shared" si="30"/>
        <v>0</v>
      </c>
      <c r="H1957" s="1"/>
    </row>
    <row r="1958" spans="1:8" ht="15.75" customHeight="1">
      <c r="A1958" s="6">
        <v>1954</v>
      </c>
      <c r="B1958" s="11" t="s">
        <v>1852</v>
      </c>
      <c r="C1958" s="11">
        <f xml:space="preserve">     48300</f>
        <v>48300</v>
      </c>
      <c r="D1958" s="11"/>
      <c r="E1958" s="17"/>
      <c r="F1958" s="12"/>
      <c r="G1958" s="8">
        <f t="shared" si="30"/>
        <v>0</v>
      </c>
      <c r="H1958" s="1"/>
    </row>
    <row r="1959" spans="1:8" ht="15.75" customHeight="1">
      <c r="A1959" s="6">
        <v>1955</v>
      </c>
      <c r="B1959" s="11" t="s">
        <v>1853</v>
      </c>
      <c r="C1959" s="11">
        <f xml:space="preserve">     20000</f>
        <v>20000</v>
      </c>
      <c r="D1959" s="11"/>
      <c r="E1959" s="17"/>
      <c r="F1959" s="12"/>
      <c r="G1959" s="8">
        <f t="shared" si="30"/>
        <v>0</v>
      </c>
      <c r="H1959" s="1"/>
    </row>
    <row r="1960" spans="1:8" ht="15.75" customHeight="1">
      <c r="A1960" s="6">
        <v>1956</v>
      </c>
      <c r="B1960" s="11" t="s">
        <v>1854</v>
      </c>
      <c r="C1960" s="11">
        <f xml:space="preserve">     40200</f>
        <v>40200</v>
      </c>
      <c r="D1960" s="11"/>
      <c r="E1960" s="17"/>
      <c r="F1960" s="12"/>
      <c r="G1960" s="8">
        <f t="shared" si="30"/>
        <v>0</v>
      </c>
      <c r="H1960" s="1"/>
    </row>
    <row r="1961" spans="1:8" ht="15.75" customHeight="1">
      <c r="A1961" s="6">
        <v>1957</v>
      </c>
      <c r="B1961" s="11" t="s">
        <v>1855</v>
      </c>
      <c r="C1961" s="11">
        <f xml:space="preserve">     90650</f>
        <v>90650</v>
      </c>
      <c r="D1961" s="11"/>
      <c r="E1961" s="17"/>
      <c r="F1961" s="12"/>
      <c r="G1961" s="8">
        <f t="shared" si="30"/>
        <v>0</v>
      </c>
      <c r="H1961" s="1"/>
    </row>
    <row r="1962" spans="1:8" ht="15.75" customHeight="1">
      <c r="A1962" s="6">
        <v>1958</v>
      </c>
      <c r="B1962" s="11" t="s">
        <v>2483</v>
      </c>
      <c r="C1962" s="11">
        <f xml:space="preserve">    164200</f>
        <v>164200</v>
      </c>
      <c r="D1962" s="11"/>
      <c r="E1962" s="17"/>
      <c r="F1962" s="12"/>
      <c r="G1962" s="8">
        <f t="shared" si="30"/>
        <v>0</v>
      </c>
      <c r="H1962" s="1"/>
    </row>
    <row r="1963" spans="1:8" ht="15.75" customHeight="1">
      <c r="A1963" s="6">
        <v>1959</v>
      </c>
      <c r="B1963" s="11" t="s">
        <v>1856</v>
      </c>
      <c r="C1963" s="11">
        <f xml:space="preserve">     31300</f>
        <v>31300</v>
      </c>
      <c r="D1963" s="11"/>
      <c r="E1963" s="17"/>
      <c r="F1963" s="12"/>
      <c r="G1963" s="8">
        <f t="shared" si="30"/>
        <v>0</v>
      </c>
      <c r="H1963" s="1"/>
    </row>
    <row r="1964" spans="1:8" ht="15.75" customHeight="1">
      <c r="A1964" s="6">
        <v>1960</v>
      </c>
      <c r="B1964" s="11" t="s">
        <v>1857</v>
      </c>
      <c r="C1964" s="11">
        <f xml:space="preserve">     42950</f>
        <v>42950</v>
      </c>
      <c r="D1964" s="11"/>
      <c r="E1964" s="17"/>
      <c r="F1964" s="12"/>
      <c r="G1964" s="8">
        <f t="shared" si="30"/>
        <v>0</v>
      </c>
      <c r="H1964" s="1"/>
    </row>
    <row r="1965" spans="1:8" ht="15.75" customHeight="1">
      <c r="A1965" s="6">
        <v>1961</v>
      </c>
      <c r="B1965" s="11" t="s">
        <v>1858</v>
      </c>
      <c r="C1965" s="11">
        <f xml:space="preserve">     51350</f>
        <v>51350</v>
      </c>
      <c r="D1965" s="11"/>
      <c r="E1965" s="17"/>
      <c r="F1965" s="12"/>
      <c r="G1965" s="8">
        <f t="shared" si="30"/>
        <v>0</v>
      </c>
      <c r="H1965" s="1"/>
    </row>
    <row r="1966" spans="1:8" ht="15.75" customHeight="1">
      <c r="A1966" s="6">
        <v>1962</v>
      </c>
      <c r="B1966" s="11" t="s">
        <v>1859</v>
      </c>
      <c r="C1966" s="11">
        <f xml:space="preserve">     18600</f>
        <v>18600</v>
      </c>
      <c r="D1966" s="11"/>
      <c r="E1966" s="17"/>
      <c r="F1966" s="12"/>
      <c r="G1966" s="8">
        <f t="shared" si="30"/>
        <v>0</v>
      </c>
      <c r="H1966" s="1"/>
    </row>
    <row r="1967" spans="1:8" ht="15.75" customHeight="1">
      <c r="A1967" s="6">
        <v>1963</v>
      </c>
      <c r="B1967" s="11" t="s">
        <v>1860</v>
      </c>
      <c r="C1967" s="11">
        <f xml:space="preserve">     32500</f>
        <v>32500</v>
      </c>
      <c r="D1967" s="11"/>
      <c r="E1967" s="17"/>
      <c r="F1967" s="12"/>
      <c r="G1967" s="8">
        <f t="shared" si="30"/>
        <v>0</v>
      </c>
      <c r="H1967" s="1"/>
    </row>
    <row r="1968" spans="1:8" ht="15.75" customHeight="1">
      <c r="A1968" s="6">
        <v>1964</v>
      </c>
      <c r="B1968" s="11" t="s">
        <v>1861</v>
      </c>
      <c r="C1968" s="11">
        <f xml:space="preserve">     62450</f>
        <v>62450</v>
      </c>
      <c r="D1968" s="11"/>
      <c r="E1968" s="17"/>
      <c r="F1968" s="12"/>
      <c r="G1968" s="8">
        <f t="shared" si="30"/>
        <v>0</v>
      </c>
      <c r="H1968" s="1"/>
    </row>
    <row r="1969" spans="1:8" ht="15.75" customHeight="1">
      <c r="A1969" s="6">
        <v>1965</v>
      </c>
      <c r="B1969" s="11" t="s">
        <v>1862</v>
      </c>
      <c r="C1969" s="11">
        <f xml:space="preserve">      5050</f>
        <v>5050</v>
      </c>
      <c r="D1969" s="11"/>
      <c r="E1969" s="17"/>
      <c r="F1969" s="12"/>
      <c r="G1969" s="8">
        <f t="shared" si="30"/>
        <v>0</v>
      </c>
      <c r="H1969" s="1"/>
    </row>
    <row r="1970" spans="1:8" ht="15.75" customHeight="1">
      <c r="A1970" s="6">
        <v>1966</v>
      </c>
      <c r="B1970" s="11" t="s">
        <v>1863</v>
      </c>
      <c r="C1970" s="11">
        <f xml:space="preserve">      6400</f>
        <v>6400</v>
      </c>
      <c r="D1970" s="11"/>
      <c r="E1970" s="17"/>
      <c r="F1970" s="12"/>
      <c r="G1970" s="8">
        <f t="shared" si="30"/>
        <v>0</v>
      </c>
      <c r="H1970" s="1"/>
    </row>
    <row r="1971" spans="1:8" ht="15.75" customHeight="1">
      <c r="A1971" s="6">
        <v>1967</v>
      </c>
      <c r="B1971" s="11" t="s">
        <v>1864</v>
      </c>
      <c r="C1971" s="11">
        <f xml:space="preserve">     89500</f>
        <v>89500</v>
      </c>
      <c r="D1971" s="11"/>
      <c r="E1971" s="17"/>
      <c r="F1971" s="12"/>
      <c r="G1971" s="8">
        <f t="shared" si="30"/>
        <v>0</v>
      </c>
      <c r="H1971" s="1"/>
    </row>
    <row r="1972" spans="1:8" ht="15.75" customHeight="1">
      <c r="A1972" s="6">
        <v>1968</v>
      </c>
      <c r="B1972" s="11" t="s">
        <v>1865</v>
      </c>
      <c r="C1972" s="11">
        <f xml:space="preserve">      1550</f>
        <v>1550</v>
      </c>
      <c r="D1972" s="11"/>
      <c r="E1972" s="17"/>
      <c r="F1972" s="12"/>
      <c r="G1972" s="8">
        <f t="shared" si="30"/>
        <v>0</v>
      </c>
      <c r="H1972" s="1"/>
    </row>
    <row r="1973" spans="1:8" ht="15.75" customHeight="1">
      <c r="A1973" s="6">
        <v>1969</v>
      </c>
      <c r="B1973" s="11" t="s">
        <v>1866</v>
      </c>
      <c r="C1973" s="11">
        <f xml:space="preserve">      1550</f>
        <v>1550</v>
      </c>
      <c r="D1973" s="11"/>
      <c r="E1973" s="17"/>
      <c r="F1973" s="12"/>
      <c r="G1973" s="8">
        <f t="shared" si="30"/>
        <v>0</v>
      </c>
      <c r="H1973" s="1"/>
    </row>
    <row r="1974" spans="1:8" ht="15.75" customHeight="1">
      <c r="A1974" s="6">
        <v>1970</v>
      </c>
      <c r="B1974" s="11" t="s">
        <v>1867</v>
      </c>
      <c r="C1974" s="11">
        <f xml:space="preserve">      1600</f>
        <v>1600</v>
      </c>
      <c r="D1974" s="11"/>
      <c r="E1974" s="17"/>
      <c r="F1974" s="12"/>
      <c r="G1974" s="8">
        <f t="shared" si="30"/>
        <v>0</v>
      </c>
      <c r="H1974" s="1"/>
    </row>
    <row r="1975" spans="1:8" ht="15.75" customHeight="1">
      <c r="A1975" s="6">
        <v>1971</v>
      </c>
      <c r="B1975" s="11" t="s">
        <v>1868</v>
      </c>
      <c r="C1975" s="11">
        <f xml:space="preserve">     63000</f>
        <v>63000</v>
      </c>
      <c r="D1975" s="11"/>
      <c r="E1975" s="17"/>
      <c r="F1975" s="12"/>
      <c r="G1975" s="8">
        <f t="shared" si="30"/>
        <v>0</v>
      </c>
      <c r="H1975" s="1"/>
    </row>
    <row r="1976" spans="1:8" ht="15.75" customHeight="1">
      <c r="A1976" s="6">
        <v>1972</v>
      </c>
      <c r="B1976" s="11" t="s">
        <v>1869</v>
      </c>
      <c r="C1976" s="11">
        <f xml:space="preserve">     33950</f>
        <v>33950</v>
      </c>
      <c r="D1976" s="11"/>
      <c r="E1976" s="17"/>
      <c r="F1976" s="12"/>
      <c r="G1976" s="8">
        <f t="shared" si="30"/>
        <v>0</v>
      </c>
      <c r="H1976" s="1"/>
    </row>
    <row r="1977" spans="1:8" ht="15.75" customHeight="1">
      <c r="A1977" s="6">
        <v>1973</v>
      </c>
      <c r="B1977" s="11" t="s">
        <v>1870</v>
      </c>
      <c r="C1977" s="11">
        <f xml:space="preserve">    109450</f>
        <v>109450</v>
      </c>
      <c r="D1977" s="11"/>
      <c r="E1977" s="17"/>
      <c r="F1977" s="12"/>
      <c r="G1977" s="8">
        <f t="shared" si="30"/>
        <v>0</v>
      </c>
      <c r="H1977" s="1"/>
    </row>
    <row r="1978" spans="1:8" ht="15.75" customHeight="1">
      <c r="A1978" s="6">
        <v>1974</v>
      </c>
      <c r="B1978" s="11" t="s">
        <v>1871</v>
      </c>
      <c r="C1978" s="11">
        <f xml:space="preserve">     49650</f>
        <v>49650</v>
      </c>
      <c r="D1978" s="11"/>
      <c r="E1978" s="17"/>
      <c r="F1978" s="12"/>
      <c r="G1978" s="8">
        <f t="shared" si="30"/>
        <v>0</v>
      </c>
      <c r="H1978" s="1"/>
    </row>
    <row r="1979" spans="1:8" ht="15.75" customHeight="1">
      <c r="A1979" s="6">
        <v>1975</v>
      </c>
      <c r="B1979" s="11" t="s">
        <v>1872</v>
      </c>
      <c r="C1979" s="11">
        <f xml:space="preserve">     47650</f>
        <v>47650</v>
      </c>
      <c r="D1979" s="11"/>
      <c r="E1979" s="17"/>
      <c r="F1979" s="12"/>
      <c r="G1979" s="8">
        <f t="shared" si="30"/>
        <v>0</v>
      </c>
      <c r="H1979" s="1"/>
    </row>
    <row r="1980" spans="1:8" ht="15.75" customHeight="1">
      <c r="A1980" s="6">
        <v>1976</v>
      </c>
      <c r="B1980" s="11" t="s">
        <v>1873</v>
      </c>
      <c r="C1980" s="11">
        <f xml:space="preserve">    382000</f>
        <v>382000</v>
      </c>
      <c r="D1980" s="11"/>
      <c r="E1980" s="17"/>
      <c r="F1980" s="12"/>
      <c r="G1980" s="8">
        <f t="shared" si="30"/>
        <v>0</v>
      </c>
      <c r="H1980" s="1"/>
    </row>
    <row r="1981" spans="1:8" ht="15.75" customHeight="1">
      <c r="A1981" s="6">
        <v>1977</v>
      </c>
      <c r="B1981" s="11" t="s">
        <v>1874</v>
      </c>
      <c r="C1981" s="11">
        <f xml:space="preserve">     36950</f>
        <v>36950</v>
      </c>
      <c r="D1981" s="11"/>
      <c r="E1981" s="17"/>
      <c r="F1981" s="12"/>
      <c r="G1981" s="8">
        <f t="shared" si="30"/>
        <v>0</v>
      </c>
      <c r="H1981" s="1"/>
    </row>
    <row r="1982" spans="1:8" ht="15.75" customHeight="1">
      <c r="A1982" s="6">
        <v>1978</v>
      </c>
      <c r="B1982" s="11" t="s">
        <v>1875</v>
      </c>
      <c r="C1982" s="11">
        <f xml:space="preserve">      6650</f>
        <v>6650</v>
      </c>
      <c r="D1982" s="11"/>
      <c r="E1982" s="17"/>
      <c r="F1982" s="12"/>
      <c r="G1982" s="8">
        <f t="shared" ref="G1982:G2044" si="31">C1982*D1982+E1982*F1982</f>
        <v>0</v>
      </c>
      <c r="H1982" s="1"/>
    </row>
    <row r="1983" spans="1:8" ht="15.75" customHeight="1">
      <c r="A1983" s="6">
        <v>1979</v>
      </c>
      <c r="B1983" s="11" t="s">
        <v>1876</v>
      </c>
      <c r="C1983" s="11">
        <f xml:space="preserve">    112200</f>
        <v>112200</v>
      </c>
      <c r="D1983" s="11"/>
      <c r="E1983" s="17"/>
      <c r="F1983" s="12"/>
      <c r="G1983" s="8">
        <f t="shared" si="31"/>
        <v>0</v>
      </c>
      <c r="H1983" s="1"/>
    </row>
    <row r="1984" spans="1:8" ht="15.75" customHeight="1">
      <c r="A1984" s="6">
        <v>1980</v>
      </c>
      <c r="B1984" s="11" t="s">
        <v>1877</v>
      </c>
      <c r="C1984" s="11">
        <f xml:space="preserve">     39700</f>
        <v>39700</v>
      </c>
      <c r="D1984" s="11"/>
      <c r="E1984" s="17"/>
      <c r="F1984" s="12"/>
      <c r="G1984" s="8">
        <f t="shared" si="31"/>
        <v>0</v>
      </c>
      <c r="H1984" s="1"/>
    </row>
    <row r="1985" spans="1:8" ht="15.75" customHeight="1">
      <c r="A1985" s="6">
        <v>1981</v>
      </c>
      <c r="B1985" s="11" t="s">
        <v>1878</v>
      </c>
      <c r="C1985" s="11">
        <f xml:space="preserve">     66300</f>
        <v>66300</v>
      </c>
      <c r="D1985" s="11"/>
      <c r="E1985" s="17"/>
      <c r="F1985" s="12"/>
      <c r="G1985" s="8">
        <f t="shared" si="31"/>
        <v>0</v>
      </c>
      <c r="H1985" s="1"/>
    </row>
    <row r="1986" spans="1:8" ht="15.75" customHeight="1">
      <c r="A1986" s="6">
        <v>1982</v>
      </c>
      <c r="B1986" s="11" t="s">
        <v>1879</v>
      </c>
      <c r="C1986" s="11">
        <f xml:space="preserve">     53650</f>
        <v>53650</v>
      </c>
      <c r="D1986" s="11"/>
      <c r="E1986" s="17"/>
      <c r="F1986" s="12"/>
      <c r="G1986" s="8">
        <f t="shared" si="31"/>
        <v>0</v>
      </c>
      <c r="H1986" s="1"/>
    </row>
    <row r="1987" spans="1:8" ht="15.75" customHeight="1">
      <c r="A1987" s="6">
        <v>1983</v>
      </c>
      <c r="B1987" s="11" t="s">
        <v>1880</v>
      </c>
      <c r="C1987" s="11">
        <f xml:space="preserve">      3300</f>
        <v>3300</v>
      </c>
      <c r="D1987" s="11"/>
      <c r="E1987" s="17"/>
      <c r="F1987" s="12"/>
      <c r="G1987" s="8">
        <f t="shared" si="31"/>
        <v>0</v>
      </c>
      <c r="H1987" s="1"/>
    </row>
    <row r="1988" spans="1:8" ht="15.75" customHeight="1">
      <c r="A1988" s="6">
        <v>1984</v>
      </c>
      <c r="B1988" s="11" t="s">
        <v>1881</v>
      </c>
      <c r="C1988" s="11">
        <f xml:space="preserve">      3100</f>
        <v>3100</v>
      </c>
      <c r="D1988" s="11"/>
      <c r="E1988" s="17"/>
      <c r="F1988" s="12"/>
      <c r="G1988" s="8">
        <f t="shared" si="31"/>
        <v>0</v>
      </c>
      <c r="H1988" s="1"/>
    </row>
    <row r="1989" spans="1:8" ht="15.75" customHeight="1">
      <c r="A1989" s="6">
        <v>1985</v>
      </c>
      <c r="B1989" s="11" t="s">
        <v>1882</v>
      </c>
      <c r="C1989" s="11">
        <f xml:space="preserve">     10450</f>
        <v>10450</v>
      </c>
      <c r="D1989" s="11"/>
      <c r="E1989" s="17"/>
      <c r="F1989" s="12"/>
      <c r="G1989" s="8">
        <f t="shared" si="31"/>
        <v>0</v>
      </c>
      <c r="H1989" s="1"/>
    </row>
    <row r="1990" spans="1:8" ht="15.75" customHeight="1">
      <c r="A1990" s="6">
        <v>1986</v>
      </c>
      <c r="B1990" s="11" t="s">
        <v>1883</v>
      </c>
      <c r="C1990" s="11">
        <f xml:space="preserve">     76150</f>
        <v>76150</v>
      </c>
      <c r="D1990" s="11"/>
      <c r="E1990" s="17"/>
      <c r="F1990" s="12"/>
      <c r="G1990" s="8">
        <f t="shared" si="31"/>
        <v>0</v>
      </c>
      <c r="H1990" s="1"/>
    </row>
    <row r="1991" spans="1:8" ht="15.75" customHeight="1">
      <c r="A1991" s="6">
        <v>1987</v>
      </c>
      <c r="B1991" s="11" t="s">
        <v>1884</v>
      </c>
      <c r="C1991" s="11">
        <f xml:space="preserve">     81850</f>
        <v>81850</v>
      </c>
      <c r="D1991" s="11"/>
      <c r="E1991" s="17"/>
      <c r="F1991" s="12"/>
      <c r="G1991" s="8">
        <f t="shared" si="31"/>
        <v>0</v>
      </c>
      <c r="H1991" s="1"/>
    </row>
    <row r="1992" spans="1:8" ht="15.75" customHeight="1">
      <c r="A1992" s="6">
        <v>1988</v>
      </c>
      <c r="B1992" s="11" t="s">
        <v>1885</v>
      </c>
      <c r="C1992" s="11">
        <f xml:space="preserve">     28100</f>
        <v>28100</v>
      </c>
      <c r="D1992" s="11"/>
      <c r="E1992" s="17"/>
      <c r="F1992" s="12"/>
      <c r="G1992" s="8">
        <f t="shared" si="31"/>
        <v>0</v>
      </c>
      <c r="H1992" s="1"/>
    </row>
    <row r="1993" spans="1:8" ht="15.75" customHeight="1">
      <c r="A1993" s="6">
        <v>1989</v>
      </c>
      <c r="B1993" s="11" t="s">
        <v>1886</v>
      </c>
      <c r="C1993" s="11">
        <f xml:space="preserve">     70200</f>
        <v>70200</v>
      </c>
      <c r="D1993" s="11"/>
      <c r="E1993" s="17"/>
      <c r="F1993" s="12"/>
      <c r="G1993" s="8">
        <f t="shared" si="31"/>
        <v>0</v>
      </c>
      <c r="H1993" s="1"/>
    </row>
    <row r="1994" spans="1:8" ht="15.75" customHeight="1">
      <c r="A1994" s="6">
        <v>1990</v>
      </c>
      <c r="B1994" s="11" t="s">
        <v>1887</v>
      </c>
      <c r="C1994" s="11">
        <f xml:space="preserve">     74000</f>
        <v>74000</v>
      </c>
      <c r="D1994" s="11"/>
      <c r="E1994" s="17"/>
      <c r="F1994" s="12"/>
      <c r="G1994" s="8">
        <f t="shared" si="31"/>
        <v>0</v>
      </c>
      <c r="H1994" s="1"/>
    </row>
    <row r="1995" spans="1:8" ht="15.75" customHeight="1">
      <c r="A1995" s="6">
        <v>1991</v>
      </c>
      <c r="B1995" s="11" t="s">
        <v>1888</v>
      </c>
      <c r="C1995" s="11">
        <f xml:space="preserve">       915</f>
        <v>915</v>
      </c>
      <c r="D1995" s="11"/>
      <c r="E1995" s="17"/>
      <c r="F1995" s="12"/>
      <c r="G1995" s="8">
        <f t="shared" si="31"/>
        <v>0</v>
      </c>
      <c r="H1995" s="1"/>
    </row>
    <row r="1996" spans="1:8" ht="15.75" customHeight="1">
      <c r="A1996" s="6">
        <v>1992</v>
      </c>
      <c r="B1996" s="11" t="s">
        <v>1889</v>
      </c>
      <c r="C1996" s="11">
        <f xml:space="preserve">     26850</f>
        <v>26850</v>
      </c>
      <c r="D1996" s="11"/>
      <c r="E1996" s="17"/>
      <c r="F1996" s="12"/>
      <c r="G1996" s="8">
        <f t="shared" si="31"/>
        <v>0</v>
      </c>
      <c r="H1996" s="1"/>
    </row>
    <row r="1997" spans="1:8" ht="15.75" customHeight="1">
      <c r="A1997" s="6">
        <v>1993</v>
      </c>
      <c r="B1997" s="11" t="s">
        <v>1890</v>
      </c>
      <c r="C1997" s="11">
        <f xml:space="preserve">     28450</f>
        <v>28450</v>
      </c>
      <c r="D1997" s="11"/>
      <c r="E1997" s="17"/>
      <c r="F1997" s="12"/>
      <c r="G1997" s="8">
        <f t="shared" si="31"/>
        <v>0</v>
      </c>
      <c r="H1997" s="1"/>
    </row>
    <row r="1998" spans="1:8" ht="15.75" customHeight="1">
      <c r="A1998" s="6">
        <v>1994</v>
      </c>
      <c r="B1998" s="11" t="s">
        <v>1891</v>
      </c>
      <c r="C1998" s="11">
        <f xml:space="preserve">     18800</f>
        <v>18800</v>
      </c>
      <c r="D1998" s="11"/>
      <c r="E1998" s="17"/>
      <c r="F1998" s="12"/>
      <c r="G1998" s="8">
        <f t="shared" si="31"/>
        <v>0</v>
      </c>
      <c r="H1998" s="1"/>
    </row>
    <row r="1999" spans="1:8" ht="15.75" customHeight="1">
      <c r="A1999" s="6">
        <v>1995</v>
      </c>
      <c r="B1999" s="11" t="s">
        <v>1892</v>
      </c>
      <c r="C1999" s="11">
        <f xml:space="preserve">     20950</f>
        <v>20950</v>
      </c>
      <c r="D1999" s="11"/>
      <c r="E1999" s="17"/>
      <c r="F1999" s="12"/>
      <c r="G1999" s="8">
        <f t="shared" si="31"/>
        <v>0</v>
      </c>
      <c r="H1999" s="1"/>
    </row>
    <row r="2000" spans="1:8" ht="15.75" customHeight="1">
      <c r="A2000" s="6">
        <v>1996</v>
      </c>
      <c r="B2000" s="11" t="s">
        <v>1893</v>
      </c>
      <c r="C2000" s="11">
        <f xml:space="preserve">     14500</f>
        <v>14500</v>
      </c>
      <c r="D2000" s="11"/>
      <c r="E2000" s="17"/>
      <c r="F2000" s="12"/>
      <c r="G2000" s="8">
        <f t="shared" si="31"/>
        <v>0</v>
      </c>
      <c r="H2000" s="1"/>
    </row>
    <row r="2001" spans="1:8" ht="15.75" customHeight="1">
      <c r="A2001" s="6">
        <v>1997</v>
      </c>
      <c r="B2001" s="11" t="s">
        <v>1894</v>
      </c>
      <c r="C2001" s="11">
        <f xml:space="preserve">     16100</f>
        <v>16100</v>
      </c>
      <c r="D2001" s="11"/>
      <c r="E2001" s="17"/>
      <c r="F2001" s="12"/>
      <c r="G2001" s="8">
        <f t="shared" si="31"/>
        <v>0</v>
      </c>
      <c r="H2001" s="1"/>
    </row>
    <row r="2002" spans="1:8" ht="15.75" customHeight="1">
      <c r="A2002" s="6">
        <v>1998</v>
      </c>
      <c r="B2002" s="11" t="s">
        <v>1895</v>
      </c>
      <c r="C2002" s="11">
        <f xml:space="preserve">     15100</f>
        <v>15100</v>
      </c>
      <c r="D2002" s="11"/>
      <c r="E2002" s="17"/>
      <c r="F2002" s="12"/>
      <c r="G2002" s="8">
        <f t="shared" si="31"/>
        <v>0</v>
      </c>
      <c r="H2002" s="1"/>
    </row>
    <row r="2003" spans="1:8" ht="15.75" customHeight="1">
      <c r="A2003" s="6">
        <v>1999</v>
      </c>
      <c r="B2003" s="11" t="s">
        <v>1896</v>
      </c>
      <c r="C2003" s="11">
        <f xml:space="preserve">     21350</f>
        <v>21350</v>
      </c>
      <c r="D2003" s="11"/>
      <c r="E2003" s="17"/>
      <c r="F2003" s="12"/>
      <c r="G2003" s="8">
        <f t="shared" si="31"/>
        <v>0</v>
      </c>
      <c r="H2003" s="1"/>
    </row>
    <row r="2004" spans="1:8" ht="15.75" customHeight="1">
      <c r="A2004" s="6">
        <v>2000</v>
      </c>
      <c r="B2004" s="11" t="s">
        <v>1897</v>
      </c>
      <c r="C2004" s="11">
        <f xml:space="preserve">     26850</f>
        <v>26850</v>
      </c>
      <c r="D2004" s="11"/>
      <c r="E2004" s="17"/>
      <c r="F2004" s="12"/>
      <c r="G2004" s="8">
        <f t="shared" si="31"/>
        <v>0</v>
      </c>
      <c r="H2004" s="1"/>
    </row>
    <row r="2005" spans="1:8" ht="15.75" customHeight="1">
      <c r="A2005" s="6">
        <v>2001</v>
      </c>
      <c r="B2005" s="11" t="s">
        <v>1898</v>
      </c>
      <c r="C2005" s="11">
        <f xml:space="preserve">     21350</f>
        <v>21350</v>
      </c>
      <c r="D2005" s="11"/>
      <c r="E2005" s="17"/>
      <c r="F2005" s="12"/>
      <c r="G2005" s="8">
        <f t="shared" si="31"/>
        <v>0</v>
      </c>
      <c r="H2005" s="1"/>
    </row>
    <row r="2006" spans="1:8" ht="15.75" customHeight="1">
      <c r="A2006" s="6">
        <v>2002</v>
      </c>
      <c r="B2006" s="11" t="s">
        <v>1899</v>
      </c>
      <c r="C2006" s="11">
        <f xml:space="preserve">     13450</f>
        <v>13450</v>
      </c>
      <c r="D2006" s="11"/>
      <c r="E2006" s="17"/>
      <c r="F2006" s="12"/>
      <c r="G2006" s="8">
        <f t="shared" si="31"/>
        <v>0</v>
      </c>
      <c r="H2006" s="1"/>
    </row>
    <row r="2007" spans="1:8" ht="15.75" customHeight="1">
      <c r="A2007" s="6">
        <v>2003</v>
      </c>
      <c r="B2007" s="11" t="s">
        <v>1900</v>
      </c>
      <c r="C2007" s="11">
        <f xml:space="preserve">    154200</f>
        <v>154200</v>
      </c>
      <c r="D2007" s="11"/>
      <c r="E2007" s="17"/>
      <c r="F2007" s="12"/>
      <c r="G2007" s="8">
        <f t="shared" si="31"/>
        <v>0</v>
      </c>
      <c r="H2007" s="1"/>
    </row>
    <row r="2008" spans="1:8" ht="15.75" customHeight="1">
      <c r="A2008" s="6">
        <v>2004</v>
      </c>
      <c r="B2008" s="11" t="s">
        <v>1901</v>
      </c>
      <c r="C2008" s="11">
        <f xml:space="preserve">     55000</f>
        <v>55000</v>
      </c>
      <c r="D2008" s="11"/>
      <c r="E2008" s="17"/>
      <c r="F2008" s="12"/>
      <c r="G2008" s="8">
        <f t="shared" si="31"/>
        <v>0</v>
      </c>
      <c r="H2008" s="1"/>
    </row>
    <row r="2009" spans="1:8" ht="15.75" customHeight="1">
      <c r="A2009" s="6">
        <v>2005</v>
      </c>
      <c r="B2009" s="11" t="s">
        <v>1902</v>
      </c>
      <c r="C2009" s="11">
        <f xml:space="preserve">     41500</f>
        <v>41500</v>
      </c>
      <c r="D2009" s="11"/>
      <c r="E2009" s="17"/>
      <c r="F2009" s="12"/>
      <c r="G2009" s="8">
        <f t="shared" si="31"/>
        <v>0</v>
      </c>
      <c r="H2009" s="1"/>
    </row>
    <row r="2010" spans="1:8" ht="15.75" customHeight="1">
      <c r="A2010" s="6">
        <v>2006</v>
      </c>
      <c r="B2010" s="11" t="s">
        <v>1903</v>
      </c>
      <c r="C2010" s="11">
        <f xml:space="preserve">     33000</f>
        <v>33000</v>
      </c>
      <c r="D2010" s="11"/>
      <c r="E2010" s="17"/>
      <c r="F2010" s="12"/>
      <c r="G2010" s="8">
        <f t="shared" si="31"/>
        <v>0</v>
      </c>
      <c r="H2010" s="1"/>
    </row>
    <row r="2011" spans="1:8" ht="15.75" customHeight="1">
      <c r="A2011" s="6">
        <v>2007</v>
      </c>
      <c r="B2011" s="11" t="s">
        <v>1904</v>
      </c>
      <c r="C2011" s="11">
        <f xml:space="preserve">      2050</f>
        <v>2050</v>
      </c>
      <c r="D2011" s="11"/>
      <c r="E2011" s="17"/>
      <c r="F2011" s="12"/>
      <c r="G2011" s="8">
        <f t="shared" si="31"/>
        <v>0</v>
      </c>
      <c r="H2011" s="1"/>
    </row>
    <row r="2012" spans="1:8" ht="15.75" customHeight="1">
      <c r="A2012" s="6">
        <v>2008</v>
      </c>
      <c r="B2012" s="11" t="s">
        <v>1905</v>
      </c>
      <c r="C2012" s="11">
        <f xml:space="preserve">      3710</f>
        <v>3710</v>
      </c>
      <c r="D2012" s="11"/>
      <c r="E2012" s="17"/>
      <c r="F2012" s="12"/>
      <c r="G2012" s="8">
        <f t="shared" si="31"/>
        <v>0</v>
      </c>
      <c r="H2012" s="1"/>
    </row>
    <row r="2013" spans="1:8" ht="15.75" customHeight="1">
      <c r="A2013" s="6">
        <v>2009</v>
      </c>
      <c r="B2013" s="11" t="s">
        <v>1906</v>
      </c>
      <c r="C2013" s="11">
        <f xml:space="preserve">     10800</f>
        <v>10800</v>
      </c>
      <c r="D2013" s="11"/>
      <c r="E2013" s="17"/>
      <c r="F2013" s="12"/>
      <c r="G2013" s="8">
        <f t="shared" si="31"/>
        <v>0</v>
      </c>
      <c r="H2013" s="1"/>
    </row>
    <row r="2014" spans="1:8" ht="15.75" customHeight="1">
      <c r="A2014" s="6">
        <v>2010</v>
      </c>
      <c r="B2014" s="11" t="s">
        <v>1907</v>
      </c>
      <c r="C2014" s="11">
        <f xml:space="preserve">     17650</f>
        <v>17650</v>
      </c>
      <c r="D2014" s="11"/>
      <c r="E2014" s="17"/>
      <c r="F2014" s="12"/>
      <c r="G2014" s="8">
        <f t="shared" si="31"/>
        <v>0</v>
      </c>
      <c r="H2014" s="1"/>
    </row>
    <row r="2015" spans="1:8" ht="15.75" customHeight="1">
      <c r="A2015" s="6">
        <v>2011</v>
      </c>
      <c r="B2015" s="11" t="s">
        <v>1908</v>
      </c>
      <c r="C2015" s="11">
        <f xml:space="preserve">     17650</f>
        <v>17650</v>
      </c>
      <c r="D2015" s="11"/>
      <c r="E2015" s="17"/>
      <c r="F2015" s="12"/>
      <c r="G2015" s="8">
        <f t="shared" si="31"/>
        <v>0</v>
      </c>
      <c r="H2015" s="1"/>
    </row>
    <row r="2016" spans="1:8" ht="15" customHeight="1">
      <c r="A2016" s="6">
        <v>2012</v>
      </c>
      <c r="B2016" s="11" t="s">
        <v>1909</v>
      </c>
      <c r="C2016" s="11">
        <f xml:space="preserve">     17650</f>
        <v>17650</v>
      </c>
      <c r="D2016" s="11"/>
      <c r="E2016" s="17"/>
      <c r="F2016" s="12"/>
      <c r="G2016" s="8">
        <f t="shared" si="31"/>
        <v>0</v>
      </c>
    </row>
    <row r="2017" spans="1:7" ht="15" customHeight="1">
      <c r="A2017" s="6">
        <v>2013</v>
      </c>
      <c r="B2017" s="11" t="s">
        <v>1910</v>
      </c>
      <c r="C2017" s="11">
        <f xml:space="preserve">    340700</f>
        <v>340700</v>
      </c>
      <c r="D2017" s="11"/>
      <c r="E2017" s="17"/>
      <c r="F2017" s="12"/>
      <c r="G2017" s="8">
        <f t="shared" si="31"/>
        <v>0</v>
      </c>
    </row>
    <row r="2018" spans="1:7" ht="15" customHeight="1">
      <c r="A2018" s="6">
        <v>2014</v>
      </c>
      <c r="B2018" s="11" t="s">
        <v>1911</v>
      </c>
      <c r="C2018" s="11">
        <f xml:space="preserve">     19850</f>
        <v>19850</v>
      </c>
      <c r="D2018" s="11"/>
      <c r="E2018" s="17"/>
      <c r="F2018" s="12"/>
      <c r="G2018" s="8">
        <f t="shared" si="31"/>
        <v>0</v>
      </c>
    </row>
    <row r="2019" spans="1:7" ht="15" customHeight="1">
      <c r="A2019" s="6">
        <v>2015</v>
      </c>
      <c r="B2019" s="11" t="s">
        <v>1912</v>
      </c>
      <c r="C2019" s="11">
        <f xml:space="preserve">     22100</f>
        <v>22100</v>
      </c>
      <c r="D2019" s="11"/>
      <c r="E2019" s="17"/>
      <c r="F2019" s="12"/>
      <c r="G2019" s="8">
        <f t="shared" si="31"/>
        <v>0</v>
      </c>
    </row>
    <row r="2020" spans="1:7" ht="15" customHeight="1">
      <c r="A2020" s="6">
        <v>2016</v>
      </c>
      <c r="B2020" s="11" t="s">
        <v>1913</v>
      </c>
      <c r="C2020" s="11">
        <f xml:space="preserve">     29400</f>
        <v>29400</v>
      </c>
      <c r="D2020" s="13"/>
      <c r="E2020" s="17"/>
      <c r="F2020" s="12"/>
      <c r="G2020" s="8">
        <f t="shared" si="31"/>
        <v>0</v>
      </c>
    </row>
    <row r="2021" spans="1:7" ht="15" customHeight="1">
      <c r="A2021" s="6">
        <v>2017</v>
      </c>
      <c r="B2021" s="11" t="s">
        <v>1914</v>
      </c>
      <c r="C2021" s="11">
        <f xml:space="preserve">    201100</f>
        <v>201100</v>
      </c>
      <c r="D2021" s="13"/>
      <c r="E2021" s="17"/>
      <c r="F2021" s="12"/>
      <c r="G2021" s="8">
        <f t="shared" si="31"/>
        <v>0</v>
      </c>
    </row>
    <row r="2022" spans="1:7" ht="15" customHeight="1">
      <c r="A2022" s="6">
        <v>2018</v>
      </c>
      <c r="B2022" s="11" t="s">
        <v>1915</v>
      </c>
      <c r="C2022" s="11">
        <f xml:space="preserve">     56500</f>
        <v>56500</v>
      </c>
      <c r="D2022" s="13"/>
      <c r="E2022" s="17"/>
      <c r="F2022" s="12"/>
      <c r="G2022" s="8">
        <f t="shared" si="31"/>
        <v>0</v>
      </c>
    </row>
    <row r="2023" spans="1:7" ht="15" customHeight="1">
      <c r="A2023" s="6">
        <v>2019</v>
      </c>
      <c r="B2023" s="11" t="s">
        <v>1916</v>
      </c>
      <c r="C2023" s="11">
        <f xml:space="preserve">     77750</f>
        <v>77750</v>
      </c>
      <c r="D2023" s="13"/>
      <c r="E2023" s="17"/>
      <c r="F2023" s="12"/>
      <c r="G2023" s="8">
        <f t="shared" si="31"/>
        <v>0</v>
      </c>
    </row>
    <row r="2024" spans="1:7" ht="15" customHeight="1">
      <c r="A2024" s="6">
        <v>2020</v>
      </c>
      <c r="B2024" s="11" t="s">
        <v>1917</v>
      </c>
      <c r="C2024" s="11">
        <f xml:space="preserve">      2195</f>
        <v>2195</v>
      </c>
      <c r="D2024" s="13"/>
      <c r="E2024" s="17"/>
      <c r="F2024" s="12"/>
      <c r="G2024" s="8">
        <f t="shared" si="31"/>
        <v>0</v>
      </c>
    </row>
    <row r="2025" spans="1:7" ht="15" customHeight="1">
      <c r="A2025" s="6">
        <v>2021</v>
      </c>
      <c r="B2025" s="11" t="s">
        <v>1918</v>
      </c>
      <c r="C2025" s="11">
        <f xml:space="preserve">    106550</f>
        <v>106550</v>
      </c>
      <c r="D2025" s="13"/>
      <c r="E2025" s="17"/>
      <c r="F2025" s="12"/>
      <c r="G2025" s="8">
        <f t="shared" si="31"/>
        <v>0</v>
      </c>
    </row>
    <row r="2026" spans="1:7" ht="15" customHeight="1">
      <c r="A2026" s="6">
        <v>2022</v>
      </c>
      <c r="B2026" s="11" t="s">
        <v>1919</v>
      </c>
      <c r="C2026" s="11">
        <f xml:space="preserve">    100800</f>
        <v>100800</v>
      </c>
      <c r="D2026" s="13"/>
      <c r="E2026" s="17"/>
      <c r="F2026" s="12"/>
      <c r="G2026" s="8">
        <f t="shared" si="31"/>
        <v>0</v>
      </c>
    </row>
    <row r="2027" spans="1:7" ht="15" customHeight="1">
      <c r="A2027" s="6">
        <v>2023</v>
      </c>
      <c r="B2027" s="11" t="s">
        <v>1920</v>
      </c>
      <c r="C2027" s="11">
        <f xml:space="preserve">     12450</f>
        <v>12450</v>
      </c>
      <c r="D2027" s="13"/>
      <c r="E2027" s="17"/>
      <c r="F2027" s="12"/>
      <c r="G2027" s="8">
        <f t="shared" si="31"/>
        <v>0</v>
      </c>
    </row>
    <row r="2028" spans="1:7" ht="15" customHeight="1">
      <c r="A2028" s="6">
        <v>2024</v>
      </c>
      <c r="B2028" s="11" t="s">
        <v>1921</v>
      </c>
      <c r="C2028" s="11">
        <f xml:space="preserve">     12450</f>
        <v>12450</v>
      </c>
      <c r="D2028" s="13"/>
      <c r="E2028" s="17"/>
      <c r="F2028" s="12"/>
      <c r="G2028" s="8">
        <f t="shared" si="31"/>
        <v>0</v>
      </c>
    </row>
    <row r="2029" spans="1:7" ht="15" customHeight="1">
      <c r="A2029" s="6">
        <v>2025</v>
      </c>
      <c r="B2029" s="11" t="s">
        <v>1922</v>
      </c>
      <c r="C2029" s="11">
        <f xml:space="preserve">     35200</f>
        <v>35200</v>
      </c>
      <c r="D2029" s="13"/>
      <c r="E2029" s="17"/>
      <c r="F2029" s="12"/>
      <c r="G2029" s="8">
        <f t="shared" si="31"/>
        <v>0</v>
      </c>
    </row>
    <row r="2030" spans="1:7" ht="15" customHeight="1">
      <c r="A2030" s="6">
        <v>2026</v>
      </c>
      <c r="B2030" s="11" t="s">
        <v>1923</v>
      </c>
      <c r="C2030" s="11">
        <f xml:space="preserve">     19800</f>
        <v>19800</v>
      </c>
      <c r="D2030" s="13"/>
      <c r="E2030" s="17"/>
      <c r="F2030" s="12"/>
      <c r="G2030" s="8">
        <f t="shared" si="31"/>
        <v>0</v>
      </c>
    </row>
    <row r="2031" spans="1:7" ht="15" customHeight="1">
      <c r="A2031" s="6">
        <v>2027</v>
      </c>
      <c r="B2031" s="11" t="s">
        <v>1924</v>
      </c>
      <c r="C2031" s="11">
        <f xml:space="preserve">      4400</f>
        <v>4400</v>
      </c>
      <c r="D2031" s="13"/>
      <c r="E2031" s="17"/>
      <c r="F2031" s="12"/>
      <c r="G2031" s="8">
        <f t="shared" si="31"/>
        <v>0</v>
      </c>
    </row>
    <row r="2032" spans="1:7" ht="15" customHeight="1">
      <c r="A2032" s="6">
        <v>2028</v>
      </c>
      <c r="B2032" s="11" t="s">
        <v>1925</v>
      </c>
      <c r="C2032" s="11">
        <f xml:space="preserve">      8100</f>
        <v>8100</v>
      </c>
      <c r="D2032" s="13"/>
      <c r="E2032" s="17"/>
      <c r="F2032" s="12"/>
      <c r="G2032" s="8">
        <f t="shared" si="31"/>
        <v>0</v>
      </c>
    </row>
    <row r="2033" spans="1:7" ht="15" customHeight="1">
      <c r="A2033" s="6">
        <v>2029</v>
      </c>
      <c r="B2033" s="11" t="s">
        <v>1926</v>
      </c>
      <c r="C2033" s="11">
        <f xml:space="preserve">     22800</f>
        <v>22800</v>
      </c>
      <c r="D2033" s="13"/>
      <c r="E2033" s="17"/>
      <c r="F2033" s="12"/>
      <c r="G2033" s="8">
        <f t="shared" si="31"/>
        <v>0</v>
      </c>
    </row>
    <row r="2034" spans="1:7" ht="15" customHeight="1">
      <c r="A2034" s="6">
        <v>2030</v>
      </c>
      <c r="B2034" s="11" t="s">
        <v>1927</v>
      </c>
      <c r="C2034" s="11">
        <f xml:space="preserve">     12950</f>
        <v>12950</v>
      </c>
      <c r="D2034" s="13"/>
      <c r="E2034" s="17"/>
      <c r="F2034" s="12"/>
      <c r="G2034" s="8">
        <f t="shared" si="31"/>
        <v>0</v>
      </c>
    </row>
    <row r="2035" spans="1:7" ht="15" customHeight="1">
      <c r="A2035" s="6">
        <v>2031</v>
      </c>
      <c r="B2035" s="11" t="s">
        <v>1928</v>
      </c>
      <c r="C2035" s="11">
        <f xml:space="preserve">     17300</f>
        <v>17300</v>
      </c>
      <c r="D2035" s="13"/>
      <c r="E2035" s="17"/>
      <c r="F2035" s="12"/>
      <c r="G2035" s="8">
        <f t="shared" si="31"/>
        <v>0</v>
      </c>
    </row>
    <row r="2036" spans="1:7" ht="15" customHeight="1">
      <c r="A2036" s="6">
        <v>2032</v>
      </c>
      <c r="B2036" s="11" t="s">
        <v>1929</v>
      </c>
      <c r="C2036" s="11">
        <f xml:space="preserve">     26200</f>
        <v>26200</v>
      </c>
      <c r="D2036" s="13"/>
      <c r="E2036" s="17"/>
      <c r="F2036" s="12"/>
      <c r="G2036" s="8">
        <f t="shared" si="31"/>
        <v>0</v>
      </c>
    </row>
    <row r="2037" spans="1:7" ht="15" customHeight="1">
      <c r="A2037" s="6">
        <v>2033</v>
      </c>
      <c r="B2037" s="11" t="s">
        <v>1930</v>
      </c>
      <c r="C2037" s="11">
        <f xml:space="preserve">     12825</f>
        <v>12825</v>
      </c>
      <c r="D2037" s="13"/>
      <c r="E2037" s="17"/>
      <c r="F2037" s="12"/>
      <c r="G2037" s="8">
        <f t="shared" si="31"/>
        <v>0</v>
      </c>
    </row>
    <row r="2038" spans="1:7" ht="15" customHeight="1">
      <c r="A2038" s="6">
        <v>2034</v>
      </c>
      <c r="B2038" s="11" t="s">
        <v>1931</v>
      </c>
      <c r="C2038" s="11">
        <f xml:space="preserve">     13600</f>
        <v>13600</v>
      </c>
      <c r="D2038" s="13"/>
      <c r="E2038" s="17"/>
      <c r="F2038" s="12"/>
      <c r="G2038" s="8">
        <f t="shared" si="31"/>
        <v>0</v>
      </c>
    </row>
    <row r="2039" spans="1:7" ht="15" customHeight="1">
      <c r="A2039" s="6">
        <v>2035</v>
      </c>
      <c r="B2039" s="11" t="s">
        <v>1932</v>
      </c>
      <c r="C2039" s="11">
        <f xml:space="preserve">     17600</f>
        <v>17600</v>
      </c>
      <c r="D2039" s="13"/>
      <c r="E2039" s="17"/>
      <c r="F2039" s="12"/>
      <c r="G2039" s="8">
        <f t="shared" si="31"/>
        <v>0</v>
      </c>
    </row>
    <row r="2040" spans="1:7" ht="15" customHeight="1">
      <c r="A2040" s="6">
        <v>2036</v>
      </c>
      <c r="B2040" s="11" t="s">
        <v>1933</v>
      </c>
      <c r="C2040" s="11">
        <f xml:space="preserve">     52250</f>
        <v>52250</v>
      </c>
      <c r="D2040" s="13"/>
      <c r="E2040" s="17"/>
      <c r="F2040" s="12"/>
      <c r="G2040" s="8">
        <f t="shared" si="31"/>
        <v>0</v>
      </c>
    </row>
    <row r="2041" spans="1:7" ht="15" customHeight="1">
      <c r="A2041" s="6">
        <v>2037</v>
      </c>
      <c r="B2041" s="11" t="s">
        <v>1934</v>
      </c>
      <c r="C2041" s="11">
        <f xml:space="preserve">      5550</f>
        <v>5550</v>
      </c>
      <c r="D2041" s="13"/>
      <c r="E2041" s="17"/>
      <c r="F2041" s="12"/>
      <c r="G2041" s="8">
        <f t="shared" si="31"/>
        <v>0</v>
      </c>
    </row>
    <row r="2042" spans="1:7" ht="15" customHeight="1">
      <c r="A2042" s="6">
        <v>2038</v>
      </c>
      <c r="B2042" s="11" t="s">
        <v>1935</v>
      </c>
      <c r="C2042" s="11">
        <f xml:space="preserve">      5800</f>
        <v>5800</v>
      </c>
      <c r="D2042" s="13"/>
      <c r="E2042" s="17"/>
      <c r="F2042" s="12"/>
      <c r="G2042" s="8">
        <f t="shared" si="31"/>
        <v>0</v>
      </c>
    </row>
    <row r="2043" spans="1:7" ht="15" customHeight="1">
      <c r="A2043" s="6">
        <v>2039</v>
      </c>
      <c r="B2043" s="11" t="s">
        <v>1936</v>
      </c>
      <c r="C2043" s="11">
        <f xml:space="preserve">      5850</f>
        <v>5850</v>
      </c>
      <c r="D2043" s="13"/>
      <c r="E2043" s="17"/>
      <c r="F2043" s="12"/>
      <c r="G2043" s="8">
        <f t="shared" si="31"/>
        <v>0</v>
      </c>
    </row>
    <row r="2044" spans="1:7" ht="15" customHeight="1">
      <c r="A2044" s="6">
        <v>2040</v>
      </c>
      <c r="B2044" s="11" t="s">
        <v>1937</v>
      </c>
      <c r="C2044" s="11">
        <f xml:space="preserve">      5900</f>
        <v>5900</v>
      </c>
      <c r="D2044" s="13"/>
      <c r="E2044" s="17"/>
      <c r="F2044" s="12"/>
      <c r="G2044" s="8">
        <f t="shared" si="31"/>
        <v>0</v>
      </c>
    </row>
    <row r="2045" spans="1:7" ht="15" customHeight="1">
      <c r="A2045" s="6">
        <v>2041</v>
      </c>
      <c r="B2045" s="11" t="s">
        <v>1938</v>
      </c>
      <c r="C2045" s="11">
        <f xml:space="preserve">     88000</f>
        <v>88000</v>
      </c>
      <c r="D2045" s="13"/>
      <c r="E2045" s="17"/>
      <c r="F2045" s="12"/>
      <c r="G2045" s="8">
        <f t="shared" ref="G2045:G2108" si="32">C2045*D2045+E2045*F2045</f>
        <v>0</v>
      </c>
    </row>
    <row r="2046" spans="1:7" ht="15" customHeight="1">
      <c r="A2046" s="6">
        <v>2042</v>
      </c>
      <c r="B2046" s="11" t="s">
        <v>1939</v>
      </c>
      <c r="C2046" s="11">
        <f xml:space="preserve">      5200</f>
        <v>5200</v>
      </c>
      <c r="D2046" s="13"/>
      <c r="E2046" s="17"/>
      <c r="F2046" s="12"/>
      <c r="G2046" s="8">
        <f t="shared" si="32"/>
        <v>0</v>
      </c>
    </row>
    <row r="2047" spans="1:7" ht="15" customHeight="1">
      <c r="A2047" s="6">
        <v>2043</v>
      </c>
      <c r="B2047" s="11" t="s">
        <v>1940</v>
      </c>
      <c r="C2047" s="11">
        <f xml:space="preserve">      6750</f>
        <v>6750</v>
      </c>
      <c r="D2047" s="13"/>
      <c r="E2047" s="17"/>
      <c r="F2047" s="12"/>
      <c r="G2047" s="8">
        <f t="shared" si="32"/>
        <v>0</v>
      </c>
    </row>
    <row r="2048" spans="1:7" ht="15" customHeight="1">
      <c r="A2048" s="6">
        <v>2044</v>
      </c>
      <c r="B2048" s="11" t="s">
        <v>1941</v>
      </c>
      <c r="C2048" s="11">
        <f xml:space="preserve">     36250</f>
        <v>36250</v>
      </c>
      <c r="D2048" s="13"/>
      <c r="E2048" s="17"/>
      <c r="F2048" s="12"/>
      <c r="G2048" s="8">
        <f t="shared" si="32"/>
        <v>0</v>
      </c>
    </row>
    <row r="2049" spans="1:7" ht="15" customHeight="1">
      <c r="A2049" s="6">
        <v>2045</v>
      </c>
      <c r="B2049" s="11" t="s">
        <v>1942</v>
      </c>
      <c r="C2049" s="11">
        <f xml:space="preserve">     17500</f>
        <v>17500</v>
      </c>
      <c r="D2049" s="13"/>
      <c r="E2049" s="17"/>
      <c r="F2049" s="12"/>
      <c r="G2049" s="8">
        <f t="shared" si="32"/>
        <v>0</v>
      </c>
    </row>
    <row r="2050" spans="1:7" ht="15" customHeight="1">
      <c r="A2050" s="6">
        <v>2046</v>
      </c>
      <c r="B2050" s="11" t="s">
        <v>1943</v>
      </c>
      <c r="C2050" s="11">
        <f xml:space="preserve">    354700</f>
        <v>354700</v>
      </c>
      <c r="D2050" s="13"/>
      <c r="E2050" s="17"/>
      <c r="F2050" s="12"/>
      <c r="G2050" s="8">
        <f t="shared" si="32"/>
        <v>0</v>
      </c>
    </row>
    <row r="2051" spans="1:7" ht="15" customHeight="1">
      <c r="A2051" s="6">
        <v>2047</v>
      </c>
      <c r="B2051" s="11" t="s">
        <v>1944</v>
      </c>
      <c r="C2051" s="11">
        <f xml:space="preserve">      1000</f>
        <v>1000</v>
      </c>
      <c r="D2051" s="13"/>
      <c r="E2051" s="17"/>
      <c r="F2051" s="12"/>
      <c r="G2051" s="8">
        <f t="shared" si="32"/>
        <v>0</v>
      </c>
    </row>
    <row r="2052" spans="1:7" ht="15" customHeight="1">
      <c r="A2052" s="6">
        <v>2048</v>
      </c>
      <c r="B2052" s="11" t="s">
        <v>1945</v>
      </c>
      <c r="C2052" s="11">
        <f xml:space="preserve">     94100</f>
        <v>94100</v>
      </c>
      <c r="D2052" s="13"/>
      <c r="E2052" s="17"/>
      <c r="F2052" s="12"/>
      <c r="G2052" s="8">
        <f t="shared" si="32"/>
        <v>0</v>
      </c>
    </row>
    <row r="2053" spans="1:7" ht="15" customHeight="1">
      <c r="A2053" s="6">
        <v>2049</v>
      </c>
      <c r="B2053" s="11" t="s">
        <v>1946</v>
      </c>
      <c r="C2053" s="11">
        <f xml:space="preserve">     26050</f>
        <v>26050</v>
      </c>
      <c r="D2053" s="13"/>
      <c r="E2053" s="17"/>
      <c r="F2053" s="12"/>
      <c r="G2053" s="8">
        <f t="shared" si="32"/>
        <v>0</v>
      </c>
    </row>
    <row r="2054" spans="1:7" ht="15" customHeight="1">
      <c r="A2054" s="6">
        <v>2050</v>
      </c>
      <c r="B2054" s="11" t="s">
        <v>1947</v>
      </c>
      <c r="C2054" s="11">
        <f xml:space="preserve">     30950</f>
        <v>30950</v>
      </c>
      <c r="D2054" s="13"/>
      <c r="E2054" s="17"/>
      <c r="F2054" s="12"/>
      <c r="G2054" s="8">
        <f t="shared" si="32"/>
        <v>0</v>
      </c>
    </row>
    <row r="2055" spans="1:7" ht="15" customHeight="1">
      <c r="A2055" s="6">
        <v>2051</v>
      </c>
      <c r="B2055" s="11" t="s">
        <v>1948</v>
      </c>
      <c r="C2055" s="11">
        <f xml:space="preserve">     40000</f>
        <v>40000</v>
      </c>
      <c r="D2055" s="13"/>
      <c r="E2055" s="17"/>
      <c r="F2055" s="12"/>
      <c r="G2055" s="8">
        <f t="shared" si="32"/>
        <v>0</v>
      </c>
    </row>
    <row r="2056" spans="1:7" ht="15" customHeight="1">
      <c r="A2056" s="6">
        <v>2052</v>
      </c>
      <c r="B2056" s="11" t="s">
        <v>1949</v>
      </c>
      <c r="C2056" s="11">
        <f xml:space="preserve">     52600</f>
        <v>52600</v>
      </c>
      <c r="D2056" s="13"/>
      <c r="E2056" s="17"/>
      <c r="F2056" s="12"/>
      <c r="G2056" s="8">
        <f t="shared" si="32"/>
        <v>0</v>
      </c>
    </row>
    <row r="2057" spans="1:7" ht="15" customHeight="1">
      <c r="A2057" s="6">
        <v>2053</v>
      </c>
      <c r="B2057" s="11" t="s">
        <v>1950</v>
      </c>
      <c r="C2057" s="11">
        <f xml:space="preserve">     58750</f>
        <v>58750</v>
      </c>
      <c r="D2057" s="13"/>
      <c r="E2057" s="17"/>
      <c r="F2057" s="12"/>
      <c r="G2057" s="8">
        <f t="shared" si="32"/>
        <v>0</v>
      </c>
    </row>
    <row r="2058" spans="1:7" ht="15" customHeight="1">
      <c r="A2058" s="6">
        <v>2054</v>
      </c>
      <c r="B2058" s="11" t="s">
        <v>1951</v>
      </c>
      <c r="C2058" s="11">
        <f xml:space="preserve">     19950</f>
        <v>19950</v>
      </c>
      <c r="D2058" s="13"/>
      <c r="E2058" s="17"/>
      <c r="F2058" s="12"/>
      <c r="G2058" s="8">
        <f t="shared" si="32"/>
        <v>0</v>
      </c>
    </row>
    <row r="2059" spans="1:7" ht="15" customHeight="1">
      <c r="A2059" s="6">
        <v>2055</v>
      </c>
      <c r="B2059" s="11" t="s">
        <v>2484</v>
      </c>
      <c r="C2059" s="11">
        <f xml:space="preserve">     87700</f>
        <v>87700</v>
      </c>
      <c r="D2059" s="13"/>
      <c r="E2059" s="17"/>
      <c r="F2059" s="12"/>
      <c r="G2059" s="8">
        <f t="shared" si="32"/>
        <v>0</v>
      </c>
    </row>
    <row r="2060" spans="1:7" ht="15" customHeight="1">
      <c r="A2060" s="6">
        <v>2056</v>
      </c>
      <c r="B2060" s="11" t="s">
        <v>1952</v>
      </c>
      <c r="C2060" s="11">
        <f xml:space="preserve">     65200</f>
        <v>65200</v>
      </c>
      <c r="D2060" s="13"/>
      <c r="E2060" s="17"/>
      <c r="F2060" s="12"/>
      <c r="G2060" s="8">
        <f t="shared" si="32"/>
        <v>0</v>
      </c>
    </row>
    <row r="2061" spans="1:7" ht="15" customHeight="1">
      <c r="A2061" s="6">
        <v>2057</v>
      </c>
      <c r="B2061" s="11" t="s">
        <v>1953</v>
      </c>
      <c r="C2061" s="11">
        <f xml:space="preserve">      2000</f>
        <v>2000</v>
      </c>
      <c r="D2061" s="13"/>
      <c r="E2061" s="17"/>
      <c r="F2061" s="12"/>
      <c r="G2061" s="8">
        <f t="shared" si="32"/>
        <v>0</v>
      </c>
    </row>
    <row r="2062" spans="1:7" ht="15" customHeight="1">
      <c r="A2062" s="6">
        <v>2058</v>
      </c>
      <c r="B2062" s="11" t="s">
        <v>1953</v>
      </c>
      <c r="C2062" s="11">
        <f xml:space="preserve">      2000</f>
        <v>2000</v>
      </c>
      <c r="D2062" s="13"/>
      <c r="E2062" s="17"/>
      <c r="F2062" s="12"/>
      <c r="G2062" s="8">
        <f t="shared" si="32"/>
        <v>0</v>
      </c>
    </row>
    <row r="2063" spans="1:7" ht="15" customHeight="1">
      <c r="A2063" s="6">
        <v>2059</v>
      </c>
      <c r="B2063" s="11" t="s">
        <v>1954</v>
      </c>
      <c r="C2063" s="11">
        <f xml:space="preserve">      3800</f>
        <v>3800</v>
      </c>
      <c r="D2063" s="13"/>
      <c r="E2063" s="17"/>
      <c r="F2063" s="12"/>
      <c r="G2063" s="8">
        <f t="shared" si="32"/>
        <v>0</v>
      </c>
    </row>
    <row r="2064" spans="1:7" ht="15" customHeight="1">
      <c r="A2064" s="6">
        <v>2060</v>
      </c>
      <c r="B2064" s="11" t="s">
        <v>1955</v>
      </c>
      <c r="C2064" s="11">
        <f xml:space="preserve">    114250</f>
        <v>114250</v>
      </c>
      <c r="D2064" s="13"/>
      <c r="E2064" s="17"/>
      <c r="F2064" s="12"/>
      <c r="G2064" s="8">
        <f t="shared" si="32"/>
        <v>0</v>
      </c>
    </row>
    <row r="2065" spans="1:7" ht="15" customHeight="1">
      <c r="A2065" s="6">
        <v>2061</v>
      </c>
      <c r="B2065" s="11" t="s">
        <v>1955</v>
      </c>
      <c r="C2065" s="11">
        <f xml:space="preserve">    115900</f>
        <v>115900</v>
      </c>
      <c r="D2065" s="13"/>
      <c r="E2065" s="17"/>
      <c r="F2065" s="12"/>
      <c r="G2065" s="8">
        <f t="shared" si="32"/>
        <v>0</v>
      </c>
    </row>
    <row r="2066" spans="1:7" ht="15" customHeight="1">
      <c r="A2066" s="6">
        <v>2062</v>
      </c>
      <c r="B2066" s="11" t="s">
        <v>1956</v>
      </c>
      <c r="C2066" s="11">
        <f xml:space="preserve">    114200</f>
        <v>114200</v>
      </c>
      <c r="D2066" s="13"/>
      <c r="E2066" s="17"/>
      <c r="F2066" s="12"/>
      <c r="G2066" s="8">
        <f t="shared" si="32"/>
        <v>0</v>
      </c>
    </row>
    <row r="2067" spans="1:7" ht="15" customHeight="1">
      <c r="A2067" s="6">
        <v>2063</v>
      </c>
      <c r="B2067" s="11" t="s">
        <v>1957</v>
      </c>
      <c r="C2067" s="11">
        <f xml:space="preserve">    126900</f>
        <v>126900</v>
      </c>
      <c r="D2067" s="13"/>
      <c r="E2067" s="17"/>
      <c r="F2067" s="12"/>
      <c r="G2067" s="8">
        <f t="shared" si="32"/>
        <v>0</v>
      </c>
    </row>
    <row r="2068" spans="1:7" ht="15" customHeight="1">
      <c r="A2068" s="6">
        <v>2064</v>
      </c>
      <c r="B2068" s="11" t="s">
        <v>1957</v>
      </c>
      <c r="C2068" s="11">
        <f xml:space="preserve">    124100</f>
        <v>124100</v>
      </c>
      <c r="D2068" s="13"/>
      <c r="E2068" s="17"/>
      <c r="F2068" s="12"/>
      <c r="G2068" s="8">
        <f t="shared" si="32"/>
        <v>0</v>
      </c>
    </row>
    <row r="2069" spans="1:7" ht="15" customHeight="1">
      <c r="A2069" s="6">
        <v>2065</v>
      </c>
      <c r="B2069" s="11" t="s">
        <v>1958</v>
      </c>
      <c r="C2069" s="11">
        <f xml:space="preserve">     52350</f>
        <v>52350</v>
      </c>
      <c r="D2069" s="13"/>
      <c r="E2069" s="17"/>
      <c r="F2069" s="12"/>
      <c r="G2069" s="8">
        <f t="shared" si="32"/>
        <v>0</v>
      </c>
    </row>
    <row r="2070" spans="1:7" ht="15" customHeight="1">
      <c r="A2070" s="6">
        <v>2066</v>
      </c>
      <c r="B2070" s="11" t="s">
        <v>1959</v>
      </c>
      <c r="C2070" s="11">
        <f xml:space="preserve">     38250</f>
        <v>38250</v>
      </c>
      <c r="D2070" s="13"/>
      <c r="E2070" s="17"/>
      <c r="F2070" s="12"/>
      <c r="G2070" s="8">
        <f t="shared" si="32"/>
        <v>0</v>
      </c>
    </row>
    <row r="2071" spans="1:7" ht="15" customHeight="1">
      <c r="A2071" s="6">
        <v>2067</v>
      </c>
      <c r="B2071" s="11" t="s">
        <v>1960</v>
      </c>
      <c r="C2071" s="11">
        <f xml:space="preserve">      7700</f>
        <v>7700</v>
      </c>
      <c r="D2071" s="13"/>
      <c r="E2071" s="17"/>
      <c r="F2071" s="12"/>
      <c r="G2071" s="8">
        <f t="shared" si="32"/>
        <v>0</v>
      </c>
    </row>
    <row r="2072" spans="1:7" ht="15" customHeight="1">
      <c r="A2072" s="6">
        <v>2068</v>
      </c>
      <c r="B2072" s="11" t="s">
        <v>1961</v>
      </c>
      <c r="C2072" s="11">
        <f xml:space="preserve">      7700</f>
        <v>7700</v>
      </c>
      <c r="D2072" s="13"/>
      <c r="E2072" s="17"/>
      <c r="F2072" s="12"/>
      <c r="G2072" s="8">
        <f t="shared" si="32"/>
        <v>0</v>
      </c>
    </row>
    <row r="2073" spans="1:7" ht="15" customHeight="1">
      <c r="A2073" s="6">
        <v>2069</v>
      </c>
      <c r="B2073" s="11" t="s">
        <v>1962</v>
      </c>
      <c r="C2073" s="11">
        <f xml:space="preserve">      1550</f>
        <v>1550</v>
      </c>
      <c r="D2073" s="13"/>
      <c r="E2073" s="17"/>
      <c r="F2073" s="12"/>
      <c r="G2073" s="8">
        <f t="shared" si="32"/>
        <v>0</v>
      </c>
    </row>
    <row r="2074" spans="1:7" ht="15" customHeight="1">
      <c r="A2074" s="6">
        <v>2070</v>
      </c>
      <c r="B2074" s="11" t="s">
        <v>1963</v>
      </c>
      <c r="C2074" s="11">
        <f xml:space="preserve">     39300</f>
        <v>39300</v>
      </c>
      <c r="D2074" s="13"/>
      <c r="E2074" s="17"/>
      <c r="F2074" s="12"/>
      <c r="G2074" s="8">
        <f t="shared" si="32"/>
        <v>0</v>
      </c>
    </row>
    <row r="2075" spans="1:7" ht="15" customHeight="1">
      <c r="A2075" s="6">
        <v>2071</v>
      </c>
      <c r="B2075" s="11" t="s">
        <v>1964</v>
      </c>
      <c r="C2075" s="11">
        <f xml:space="preserve">     35900</f>
        <v>35900</v>
      </c>
      <c r="D2075" s="13"/>
      <c r="E2075" s="17"/>
      <c r="F2075" s="12"/>
      <c r="G2075" s="8">
        <f t="shared" si="32"/>
        <v>0</v>
      </c>
    </row>
    <row r="2076" spans="1:7" ht="15" customHeight="1">
      <c r="A2076" s="6">
        <v>2072</v>
      </c>
      <c r="B2076" s="11" t="s">
        <v>1965</v>
      </c>
      <c r="C2076" s="11">
        <f xml:space="preserve">    131200</f>
        <v>131200</v>
      </c>
      <c r="D2076" s="13"/>
      <c r="E2076" s="17"/>
      <c r="F2076" s="12"/>
      <c r="G2076" s="8">
        <f t="shared" si="32"/>
        <v>0</v>
      </c>
    </row>
    <row r="2077" spans="1:7" ht="15" customHeight="1">
      <c r="A2077" s="6">
        <v>2073</v>
      </c>
      <c r="B2077" s="11" t="s">
        <v>1966</v>
      </c>
      <c r="C2077" s="11">
        <f xml:space="preserve">     15250</f>
        <v>15250</v>
      </c>
      <c r="D2077" s="13"/>
      <c r="E2077" s="17"/>
      <c r="F2077" s="12"/>
      <c r="G2077" s="8">
        <f t="shared" si="32"/>
        <v>0</v>
      </c>
    </row>
    <row r="2078" spans="1:7" ht="15" customHeight="1">
      <c r="A2078" s="6">
        <v>2074</v>
      </c>
      <c r="B2078" s="11" t="s">
        <v>1967</v>
      </c>
      <c r="C2078" s="11">
        <f xml:space="preserve">     35200</f>
        <v>35200</v>
      </c>
      <c r="D2078" s="13"/>
      <c r="E2078" s="17"/>
      <c r="F2078" s="12"/>
      <c r="G2078" s="8">
        <f t="shared" si="32"/>
        <v>0</v>
      </c>
    </row>
    <row r="2079" spans="1:7" ht="15" customHeight="1">
      <c r="A2079" s="6">
        <v>2075</v>
      </c>
      <c r="B2079" s="11" t="s">
        <v>1968</v>
      </c>
      <c r="C2079" s="11">
        <f xml:space="preserve">     31850</f>
        <v>31850</v>
      </c>
      <c r="D2079" s="13"/>
      <c r="E2079" s="17"/>
      <c r="F2079" s="12"/>
      <c r="G2079" s="8">
        <f t="shared" si="32"/>
        <v>0</v>
      </c>
    </row>
    <row r="2080" spans="1:7" ht="15" customHeight="1">
      <c r="A2080" s="6">
        <v>2076</v>
      </c>
      <c r="B2080" s="11" t="s">
        <v>1969</v>
      </c>
      <c r="C2080" s="11">
        <f xml:space="preserve">     15100</f>
        <v>15100</v>
      </c>
      <c r="D2080" s="13"/>
      <c r="E2080" s="17"/>
      <c r="F2080" s="12"/>
      <c r="G2080" s="8">
        <f t="shared" si="32"/>
        <v>0</v>
      </c>
    </row>
    <row r="2081" spans="1:7" ht="15" customHeight="1">
      <c r="A2081" s="6">
        <v>2077</v>
      </c>
      <c r="B2081" s="11" t="s">
        <v>1970</v>
      </c>
      <c r="C2081" s="11">
        <f xml:space="preserve">    119900</f>
        <v>119900</v>
      </c>
      <c r="D2081" s="13"/>
      <c r="E2081" s="17"/>
      <c r="F2081" s="12"/>
      <c r="G2081" s="8">
        <f t="shared" si="32"/>
        <v>0</v>
      </c>
    </row>
    <row r="2082" spans="1:7" ht="15" customHeight="1">
      <c r="A2082" s="6">
        <v>2078</v>
      </c>
      <c r="B2082" s="11" t="s">
        <v>1971</v>
      </c>
      <c r="C2082" s="11">
        <f xml:space="preserve">     39400</f>
        <v>39400</v>
      </c>
      <c r="D2082" s="13"/>
      <c r="E2082" s="17"/>
      <c r="F2082" s="12"/>
      <c r="G2082" s="8">
        <f t="shared" si="32"/>
        <v>0</v>
      </c>
    </row>
    <row r="2083" spans="1:7" ht="15" customHeight="1">
      <c r="A2083" s="6">
        <v>2079</v>
      </c>
      <c r="B2083" s="11" t="s">
        <v>1972</v>
      </c>
      <c r="C2083" s="11">
        <f xml:space="preserve">     48000</f>
        <v>48000</v>
      </c>
      <c r="D2083" s="13"/>
      <c r="E2083" s="17"/>
      <c r="F2083" s="12"/>
      <c r="G2083" s="8">
        <f t="shared" si="32"/>
        <v>0</v>
      </c>
    </row>
    <row r="2084" spans="1:7" ht="15" customHeight="1">
      <c r="A2084" s="6">
        <v>2080</v>
      </c>
      <c r="B2084" s="11" t="s">
        <v>1973</v>
      </c>
      <c r="C2084" s="11">
        <f xml:space="preserve">     47850</f>
        <v>47850</v>
      </c>
      <c r="D2084" s="13"/>
      <c r="E2084" s="17"/>
      <c r="F2084" s="12"/>
      <c r="G2084" s="8">
        <f t="shared" si="32"/>
        <v>0</v>
      </c>
    </row>
    <row r="2085" spans="1:7" ht="15" customHeight="1">
      <c r="A2085" s="6">
        <v>2081</v>
      </c>
      <c r="B2085" s="11" t="s">
        <v>1974</v>
      </c>
      <c r="C2085" s="11">
        <f xml:space="preserve">     19100</f>
        <v>19100</v>
      </c>
      <c r="D2085" s="13"/>
      <c r="E2085" s="17"/>
      <c r="F2085" s="12"/>
      <c r="G2085" s="8">
        <f t="shared" si="32"/>
        <v>0</v>
      </c>
    </row>
    <row r="2086" spans="1:7" ht="15" customHeight="1">
      <c r="A2086" s="6">
        <v>2082</v>
      </c>
      <c r="B2086" s="11" t="s">
        <v>1975</v>
      </c>
      <c r="C2086" s="11">
        <f xml:space="preserve">     35600</f>
        <v>35600</v>
      </c>
      <c r="D2086" s="13"/>
      <c r="E2086" s="17"/>
      <c r="F2086" s="12"/>
      <c r="G2086" s="8">
        <f t="shared" si="32"/>
        <v>0</v>
      </c>
    </row>
    <row r="2087" spans="1:7" ht="15" customHeight="1">
      <c r="A2087" s="6">
        <v>2083</v>
      </c>
      <c r="B2087" s="11" t="s">
        <v>1976</v>
      </c>
      <c r="C2087" s="11">
        <f xml:space="preserve">     78550</f>
        <v>78550</v>
      </c>
      <c r="D2087" s="13"/>
      <c r="E2087" s="17"/>
      <c r="F2087" s="12"/>
      <c r="G2087" s="8">
        <f t="shared" si="32"/>
        <v>0</v>
      </c>
    </row>
    <row r="2088" spans="1:7" ht="15" customHeight="1">
      <c r="A2088" s="6">
        <v>2084</v>
      </c>
      <c r="B2088" s="11" t="s">
        <v>1977</v>
      </c>
      <c r="C2088" s="11">
        <f xml:space="preserve">     48550</f>
        <v>48550</v>
      </c>
      <c r="D2088" s="13"/>
      <c r="E2088" s="17"/>
      <c r="F2088" s="12"/>
      <c r="G2088" s="8">
        <f t="shared" si="32"/>
        <v>0</v>
      </c>
    </row>
    <row r="2089" spans="1:7" ht="15" customHeight="1">
      <c r="A2089" s="6">
        <v>2085</v>
      </c>
      <c r="B2089" s="11" t="s">
        <v>1978</v>
      </c>
      <c r="C2089" s="11">
        <f xml:space="preserve">     33100</f>
        <v>33100</v>
      </c>
      <c r="D2089" s="13"/>
      <c r="E2089" s="17"/>
      <c r="F2089" s="12"/>
      <c r="G2089" s="8">
        <f t="shared" si="32"/>
        <v>0</v>
      </c>
    </row>
    <row r="2090" spans="1:7" ht="15" customHeight="1">
      <c r="A2090" s="6">
        <v>2086</v>
      </c>
      <c r="B2090" s="11" t="s">
        <v>1978</v>
      </c>
      <c r="C2090" s="11">
        <f xml:space="preserve">     33000</f>
        <v>33000</v>
      </c>
      <c r="D2090" s="13"/>
      <c r="E2090" s="17"/>
      <c r="F2090" s="12"/>
      <c r="G2090" s="8">
        <f t="shared" si="32"/>
        <v>0</v>
      </c>
    </row>
    <row r="2091" spans="1:7" ht="15" customHeight="1">
      <c r="A2091" s="6">
        <v>2087</v>
      </c>
      <c r="B2091" s="11" t="s">
        <v>1979</v>
      </c>
      <c r="C2091" s="11">
        <f xml:space="preserve">     33400</f>
        <v>33400</v>
      </c>
      <c r="D2091" s="13"/>
      <c r="E2091" s="17"/>
      <c r="F2091" s="12"/>
      <c r="G2091" s="8">
        <f t="shared" si="32"/>
        <v>0</v>
      </c>
    </row>
    <row r="2092" spans="1:7" ht="15" customHeight="1">
      <c r="A2092" s="6">
        <v>2088</v>
      </c>
      <c r="B2092" s="11" t="s">
        <v>1980</v>
      </c>
      <c r="C2092" s="11">
        <f xml:space="preserve">    364600</f>
        <v>364600</v>
      </c>
      <c r="D2092" s="13"/>
      <c r="E2092" s="17"/>
      <c r="F2092" s="12"/>
      <c r="G2092" s="8">
        <f t="shared" si="32"/>
        <v>0</v>
      </c>
    </row>
    <row r="2093" spans="1:7" ht="15" customHeight="1">
      <c r="A2093" s="6">
        <v>2089</v>
      </c>
      <c r="B2093" s="11" t="s">
        <v>1981</v>
      </c>
      <c r="C2093" s="11">
        <f xml:space="preserve">    117750</f>
        <v>117750</v>
      </c>
      <c r="D2093" s="13"/>
      <c r="E2093" s="17"/>
      <c r="F2093" s="13"/>
      <c r="G2093" s="8">
        <f t="shared" si="32"/>
        <v>0</v>
      </c>
    </row>
    <row r="2094" spans="1:7" ht="15" customHeight="1">
      <c r="A2094" s="6">
        <v>2090</v>
      </c>
      <c r="B2094" s="11" t="s">
        <v>1982</v>
      </c>
      <c r="C2094" s="11">
        <f xml:space="preserve">     36200</f>
        <v>36200</v>
      </c>
      <c r="D2094" s="13"/>
      <c r="E2094" s="17"/>
      <c r="F2094" s="13"/>
      <c r="G2094" s="8">
        <f t="shared" si="32"/>
        <v>0</v>
      </c>
    </row>
    <row r="2095" spans="1:7" ht="15" customHeight="1">
      <c r="A2095" s="6">
        <v>2091</v>
      </c>
      <c r="B2095" s="11" t="s">
        <v>1983</v>
      </c>
      <c r="C2095" s="11">
        <f xml:space="preserve">     52550</f>
        <v>52550</v>
      </c>
      <c r="D2095" s="13"/>
      <c r="E2095" s="17"/>
      <c r="F2095" s="13"/>
      <c r="G2095" s="8">
        <f t="shared" si="32"/>
        <v>0</v>
      </c>
    </row>
    <row r="2096" spans="1:7" ht="15" customHeight="1">
      <c r="A2096" s="6">
        <v>2092</v>
      </c>
      <c r="B2096" s="11" t="s">
        <v>1984</v>
      </c>
      <c r="C2096" s="11">
        <f xml:space="preserve">     32400</f>
        <v>32400</v>
      </c>
      <c r="D2096" s="13"/>
      <c r="E2096" s="17"/>
      <c r="F2096" s="13"/>
      <c r="G2096" s="8">
        <f t="shared" si="32"/>
        <v>0</v>
      </c>
    </row>
    <row r="2097" spans="1:7" ht="15" customHeight="1">
      <c r="A2097" s="6">
        <v>2093</v>
      </c>
      <c r="B2097" s="11" t="s">
        <v>1985</v>
      </c>
      <c r="C2097" s="11">
        <f xml:space="preserve">     30400</f>
        <v>30400</v>
      </c>
      <c r="D2097" s="13"/>
      <c r="E2097" s="17"/>
      <c r="F2097" s="13"/>
      <c r="G2097" s="8">
        <f t="shared" si="32"/>
        <v>0</v>
      </c>
    </row>
    <row r="2098" spans="1:7" ht="15" customHeight="1">
      <c r="A2098" s="6">
        <v>2094</v>
      </c>
      <c r="B2098" s="11" t="s">
        <v>1986</v>
      </c>
      <c r="C2098" s="11">
        <f xml:space="preserve">     52550</f>
        <v>52550</v>
      </c>
      <c r="D2098" s="13"/>
      <c r="E2098" s="17"/>
      <c r="F2098" s="13"/>
      <c r="G2098" s="8">
        <f t="shared" si="32"/>
        <v>0</v>
      </c>
    </row>
    <row r="2099" spans="1:7" ht="15" customHeight="1">
      <c r="A2099" s="6">
        <v>2095</v>
      </c>
      <c r="B2099" s="11" t="s">
        <v>1987</v>
      </c>
      <c r="C2099" s="11">
        <f xml:space="preserve">     33300</f>
        <v>33300</v>
      </c>
      <c r="D2099" s="13"/>
      <c r="E2099" s="17"/>
      <c r="F2099" s="13"/>
      <c r="G2099" s="8">
        <f t="shared" si="32"/>
        <v>0</v>
      </c>
    </row>
    <row r="2100" spans="1:7" ht="15" customHeight="1">
      <c r="A2100" s="6">
        <v>2096</v>
      </c>
      <c r="B2100" s="11" t="s">
        <v>1988</v>
      </c>
      <c r="C2100" s="11">
        <f xml:space="preserve">     53600</f>
        <v>53600</v>
      </c>
      <c r="D2100" s="13"/>
      <c r="E2100" s="17"/>
      <c r="F2100" s="13"/>
      <c r="G2100" s="8">
        <f t="shared" si="32"/>
        <v>0</v>
      </c>
    </row>
    <row r="2101" spans="1:7" ht="15" customHeight="1">
      <c r="A2101" s="6">
        <v>2097</v>
      </c>
      <c r="B2101" s="11" t="s">
        <v>1989</v>
      </c>
      <c r="C2101" s="11">
        <f xml:space="preserve">       720</f>
        <v>720</v>
      </c>
      <c r="D2101" s="13"/>
      <c r="E2101" s="17"/>
      <c r="F2101" s="13"/>
      <c r="G2101" s="8">
        <f t="shared" si="32"/>
        <v>0</v>
      </c>
    </row>
    <row r="2102" spans="1:7" ht="15" customHeight="1">
      <c r="A2102" s="6">
        <v>2098</v>
      </c>
      <c r="B2102" s="11" t="s">
        <v>1990</v>
      </c>
      <c r="C2102" s="11">
        <f xml:space="preserve">      3050</f>
        <v>3050</v>
      </c>
      <c r="D2102" s="13"/>
      <c r="E2102" s="17"/>
      <c r="F2102" s="13"/>
      <c r="G2102" s="8">
        <f t="shared" si="32"/>
        <v>0</v>
      </c>
    </row>
    <row r="2103" spans="1:7" ht="15" customHeight="1">
      <c r="A2103" s="6">
        <v>2099</v>
      </c>
      <c r="B2103" s="11" t="s">
        <v>1990</v>
      </c>
      <c r="C2103" s="11">
        <f xml:space="preserve">      3050</f>
        <v>3050</v>
      </c>
      <c r="D2103" s="13"/>
      <c r="E2103" s="17"/>
      <c r="F2103" s="13"/>
      <c r="G2103" s="8">
        <f t="shared" si="32"/>
        <v>0</v>
      </c>
    </row>
    <row r="2104" spans="1:7" ht="15" customHeight="1">
      <c r="A2104" s="6">
        <v>2100</v>
      </c>
      <c r="B2104" s="11" t="s">
        <v>1991</v>
      </c>
      <c r="C2104" s="11">
        <f xml:space="preserve">      7700</f>
        <v>7700</v>
      </c>
      <c r="D2104" s="13"/>
      <c r="E2104" s="17"/>
      <c r="F2104" s="13"/>
      <c r="G2104" s="8">
        <f t="shared" si="32"/>
        <v>0</v>
      </c>
    </row>
    <row r="2105" spans="1:7" ht="15" customHeight="1">
      <c r="A2105" s="6">
        <v>2101</v>
      </c>
      <c r="B2105" s="11" t="s">
        <v>1992</v>
      </c>
      <c r="C2105" s="11">
        <f xml:space="preserve">      3800</f>
        <v>3800</v>
      </c>
      <c r="D2105" s="13"/>
      <c r="E2105" s="17"/>
      <c r="F2105" s="13"/>
      <c r="G2105" s="8">
        <f t="shared" si="32"/>
        <v>0</v>
      </c>
    </row>
    <row r="2106" spans="1:7" ht="15" customHeight="1">
      <c r="A2106" s="6">
        <v>2102</v>
      </c>
      <c r="B2106" s="11" t="s">
        <v>1993</v>
      </c>
      <c r="C2106" s="11">
        <f xml:space="preserve">      7900</f>
        <v>7900</v>
      </c>
      <c r="D2106" s="13"/>
      <c r="E2106" s="17"/>
      <c r="F2106" s="13"/>
      <c r="G2106" s="8">
        <f t="shared" si="32"/>
        <v>0</v>
      </c>
    </row>
    <row r="2107" spans="1:7" ht="15" customHeight="1">
      <c r="A2107" s="6">
        <v>2103</v>
      </c>
      <c r="B2107" s="11" t="s">
        <v>1994</v>
      </c>
      <c r="C2107" s="11">
        <f xml:space="preserve">     15550</f>
        <v>15550</v>
      </c>
      <c r="D2107" s="13"/>
      <c r="E2107" s="17"/>
      <c r="F2107" s="13"/>
      <c r="G2107" s="8">
        <f t="shared" si="32"/>
        <v>0</v>
      </c>
    </row>
    <row r="2108" spans="1:7" ht="15" customHeight="1">
      <c r="A2108" s="6">
        <v>2104</v>
      </c>
      <c r="B2108" s="11" t="s">
        <v>1995</v>
      </c>
      <c r="C2108" s="11">
        <f xml:space="preserve">     44600</f>
        <v>44600</v>
      </c>
      <c r="D2108" s="13"/>
      <c r="E2108" s="17"/>
      <c r="F2108" s="13"/>
      <c r="G2108" s="8">
        <f t="shared" si="32"/>
        <v>0</v>
      </c>
    </row>
    <row r="2109" spans="1:7" ht="15" customHeight="1">
      <c r="A2109" s="6">
        <v>2105</v>
      </c>
      <c r="B2109" s="11" t="s">
        <v>1996</v>
      </c>
      <c r="C2109" s="11">
        <f xml:space="preserve">    132100</f>
        <v>132100</v>
      </c>
      <c r="D2109" s="13"/>
      <c r="E2109" s="17"/>
      <c r="F2109" s="13"/>
      <c r="G2109" s="8">
        <f t="shared" ref="G2109:G2172" si="33">C2109*D2109+E2109*F2109</f>
        <v>0</v>
      </c>
    </row>
    <row r="2110" spans="1:7" ht="15" customHeight="1">
      <c r="A2110" s="6">
        <v>2106</v>
      </c>
      <c r="B2110" s="11" t="s">
        <v>1997</v>
      </c>
      <c r="C2110" s="11">
        <f xml:space="preserve">     58600</f>
        <v>58600</v>
      </c>
      <c r="D2110" s="13"/>
      <c r="E2110" s="17"/>
      <c r="F2110" s="13"/>
      <c r="G2110" s="8">
        <f t="shared" si="33"/>
        <v>0</v>
      </c>
    </row>
    <row r="2111" spans="1:7" ht="15" customHeight="1">
      <c r="A2111" s="6">
        <v>2107</v>
      </c>
      <c r="B2111" s="11" t="s">
        <v>1998</v>
      </c>
      <c r="C2111" s="11">
        <f xml:space="preserve">     24500</f>
        <v>24500</v>
      </c>
      <c r="D2111" s="13"/>
      <c r="E2111" s="17"/>
      <c r="F2111" s="13"/>
      <c r="G2111" s="8">
        <f t="shared" si="33"/>
        <v>0</v>
      </c>
    </row>
    <row r="2112" spans="1:7" ht="15" customHeight="1">
      <c r="A2112" s="6">
        <v>2108</v>
      </c>
      <c r="B2112" s="11" t="s">
        <v>1999</v>
      </c>
      <c r="C2112" s="11">
        <f xml:space="preserve">     27200</f>
        <v>27200</v>
      </c>
      <c r="D2112" s="13"/>
      <c r="E2112" s="17"/>
      <c r="F2112" s="13"/>
      <c r="G2112" s="8">
        <f t="shared" si="33"/>
        <v>0</v>
      </c>
    </row>
    <row r="2113" spans="1:7" ht="15" customHeight="1">
      <c r="A2113" s="6">
        <v>2109</v>
      </c>
      <c r="B2113" s="11" t="s">
        <v>2000</v>
      </c>
      <c r="C2113" s="11">
        <f xml:space="preserve">     53850</f>
        <v>53850</v>
      </c>
      <c r="D2113" s="13"/>
      <c r="E2113" s="17"/>
      <c r="F2113" s="13"/>
      <c r="G2113" s="8">
        <f t="shared" si="33"/>
        <v>0</v>
      </c>
    </row>
    <row r="2114" spans="1:7" ht="15" customHeight="1">
      <c r="A2114" s="6">
        <v>2110</v>
      </c>
      <c r="B2114" s="11" t="s">
        <v>2001</v>
      </c>
      <c r="C2114" s="11">
        <f xml:space="preserve">      4500</f>
        <v>4500</v>
      </c>
      <c r="D2114" s="13"/>
      <c r="E2114" s="17"/>
      <c r="F2114" s="13"/>
      <c r="G2114" s="8">
        <f t="shared" si="33"/>
        <v>0</v>
      </c>
    </row>
    <row r="2115" spans="1:7" ht="15" customHeight="1">
      <c r="A2115" s="6">
        <v>2111</v>
      </c>
      <c r="B2115" s="11" t="s">
        <v>2002</v>
      </c>
      <c r="C2115" s="11">
        <f xml:space="preserve">     72200</f>
        <v>72200</v>
      </c>
      <c r="D2115" s="13"/>
      <c r="E2115" s="17"/>
      <c r="F2115" s="13"/>
      <c r="G2115" s="8">
        <f t="shared" si="33"/>
        <v>0</v>
      </c>
    </row>
    <row r="2116" spans="1:7" ht="15" customHeight="1">
      <c r="A2116" s="6">
        <v>2112</v>
      </c>
      <c r="B2116" s="11" t="s">
        <v>2003</v>
      </c>
      <c r="C2116" s="11">
        <f xml:space="preserve">     17400</f>
        <v>17400</v>
      </c>
      <c r="D2116" s="13"/>
      <c r="E2116" s="17"/>
      <c r="F2116" s="13"/>
      <c r="G2116" s="8">
        <f t="shared" si="33"/>
        <v>0</v>
      </c>
    </row>
    <row r="2117" spans="1:7" ht="15" customHeight="1">
      <c r="A2117" s="6">
        <v>2113</v>
      </c>
      <c r="B2117" s="11" t="s">
        <v>2004</v>
      </c>
      <c r="C2117" s="11">
        <f xml:space="preserve">     23700</f>
        <v>23700</v>
      </c>
      <c r="D2117" s="13"/>
      <c r="E2117" s="17"/>
      <c r="F2117" s="13"/>
      <c r="G2117" s="8">
        <f t="shared" si="33"/>
        <v>0</v>
      </c>
    </row>
    <row r="2118" spans="1:7" ht="15" customHeight="1">
      <c r="A2118" s="6">
        <v>2114</v>
      </c>
      <c r="B2118" s="11" t="s">
        <v>2005</v>
      </c>
      <c r="C2118" s="11">
        <f xml:space="preserve">     46600</f>
        <v>46600</v>
      </c>
      <c r="D2118" s="13"/>
      <c r="E2118" s="17"/>
      <c r="F2118" s="13"/>
      <c r="G2118" s="8">
        <f t="shared" si="33"/>
        <v>0</v>
      </c>
    </row>
    <row r="2119" spans="1:7" ht="15" customHeight="1">
      <c r="A2119" s="6">
        <v>2115</v>
      </c>
      <c r="B2119" s="11" t="s">
        <v>2006</v>
      </c>
      <c r="C2119" s="11">
        <f xml:space="preserve">    117700</f>
        <v>117700</v>
      </c>
      <c r="D2119" s="13"/>
      <c r="E2119" s="17"/>
      <c r="F2119" s="13"/>
      <c r="G2119" s="8">
        <f t="shared" si="33"/>
        <v>0</v>
      </c>
    </row>
    <row r="2120" spans="1:7" ht="15" customHeight="1">
      <c r="A2120" s="6">
        <v>2116</v>
      </c>
      <c r="B2120" s="11" t="s">
        <v>2007</v>
      </c>
      <c r="C2120" s="11">
        <f xml:space="preserve">     51800</f>
        <v>51800</v>
      </c>
      <c r="D2120" s="13"/>
      <c r="E2120" s="17"/>
      <c r="F2120" s="13"/>
      <c r="G2120" s="8">
        <f t="shared" si="33"/>
        <v>0</v>
      </c>
    </row>
    <row r="2121" spans="1:7" ht="15" customHeight="1">
      <c r="A2121" s="6">
        <v>2117</v>
      </c>
      <c r="B2121" s="11" t="s">
        <v>2008</v>
      </c>
      <c r="C2121" s="11">
        <f xml:space="preserve">     68100</f>
        <v>68100</v>
      </c>
      <c r="D2121" s="13"/>
      <c r="E2121" s="17"/>
      <c r="F2121" s="13"/>
      <c r="G2121" s="8">
        <f t="shared" si="33"/>
        <v>0</v>
      </c>
    </row>
    <row r="2122" spans="1:7" ht="15" customHeight="1">
      <c r="A2122" s="6">
        <v>2118</v>
      </c>
      <c r="B2122" s="11" t="s">
        <v>2009</v>
      </c>
      <c r="C2122" s="11">
        <f xml:space="preserve">     80700</f>
        <v>80700</v>
      </c>
      <c r="D2122" s="13"/>
      <c r="E2122" s="17"/>
      <c r="F2122" s="13"/>
      <c r="G2122" s="8">
        <f t="shared" si="33"/>
        <v>0</v>
      </c>
    </row>
    <row r="2123" spans="1:7" ht="15" customHeight="1">
      <c r="A2123" s="6">
        <v>2119</v>
      </c>
      <c r="B2123" s="11" t="s">
        <v>2009</v>
      </c>
      <c r="C2123" s="11">
        <f xml:space="preserve">     79700</f>
        <v>79700</v>
      </c>
      <c r="D2123" s="13"/>
      <c r="E2123" s="17"/>
      <c r="F2123" s="13"/>
      <c r="G2123" s="8">
        <f t="shared" si="33"/>
        <v>0</v>
      </c>
    </row>
    <row r="2124" spans="1:7" ht="15" customHeight="1">
      <c r="A2124" s="6">
        <v>2120</v>
      </c>
      <c r="B2124" s="11" t="s">
        <v>2010</v>
      </c>
      <c r="C2124" s="11">
        <f xml:space="preserve">     46550</f>
        <v>46550</v>
      </c>
      <c r="D2124" s="13"/>
      <c r="E2124" s="17"/>
      <c r="F2124" s="13"/>
      <c r="G2124" s="8">
        <f t="shared" si="33"/>
        <v>0</v>
      </c>
    </row>
    <row r="2125" spans="1:7" ht="15" customHeight="1">
      <c r="A2125" s="6">
        <v>2121</v>
      </c>
      <c r="B2125" s="11" t="s">
        <v>2011</v>
      </c>
      <c r="C2125" s="11">
        <f xml:space="preserve">     80950</f>
        <v>80950</v>
      </c>
      <c r="D2125" s="13"/>
      <c r="E2125" s="17"/>
      <c r="F2125" s="13"/>
      <c r="G2125" s="8">
        <f t="shared" si="33"/>
        <v>0</v>
      </c>
    </row>
    <row r="2126" spans="1:7" ht="15" customHeight="1">
      <c r="A2126" s="6">
        <v>2122</v>
      </c>
      <c r="B2126" s="11" t="s">
        <v>2012</v>
      </c>
      <c r="C2126" s="11">
        <f xml:space="preserve">      7700</f>
        <v>7700</v>
      </c>
      <c r="D2126" s="13"/>
      <c r="E2126" s="17"/>
      <c r="F2126" s="13"/>
      <c r="G2126" s="8">
        <f t="shared" si="33"/>
        <v>0</v>
      </c>
    </row>
    <row r="2127" spans="1:7" ht="15" customHeight="1">
      <c r="A2127" s="6">
        <v>2123</v>
      </c>
      <c r="B2127" s="11" t="s">
        <v>2013</v>
      </c>
      <c r="C2127" s="11">
        <f xml:space="preserve">     23400</f>
        <v>23400</v>
      </c>
      <c r="D2127" s="13"/>
      <c r="E2127" s="17"/>
      <c r="F2127" s="13"/>
      <c r="G2127" s="8">
        <f t="shared" si="33"/>
        <v>0</v>
      </c>
    </row>
    <row r="2128" spans="1:7" ht="15" customHeight="1">
      <c r="A2128" s="6">
        <v>2124</v>
      </c>
      <c r="B2128" s="11" t="s">
        <v>2014</v>
      </c>
      <c r="C2128" s="11">
        <f xml:space="preserve">     25700</f>
        <v>25700</v>
      </c>
      <c r="D2128" s="13"/>
      <c r="E2128" s="17"/>
      <c r="F2128" s="13"/>
      <c r="G2128" s="8">
        <f t="shared" si="33"/>
        <v>0</v>
      </c>
    </row>
    <row r="2129" spans="1:7" ht="15" customHeight="1">
      <c r="A2129" s="6">
        <v>2125</v>
      </c>
      <c r="B2129" s="11" t="s">
        <v>2015</v>
      </c>
      <c r="C2129" s="11">
        <f xml:space="preserve">     32650</f>
        <v>32650</v>
      </c>
      <c r="D2129" s="13"/>
      <c r="E2129" s="17"/>
      <c r="F2129" s="13"/>
      <c r="G2129" s="8">
        <f t="shared" si="33"/>
        <v>0</v>
      </c>
    </row>
    <row r="2130" spans="1:7" ht="15" customHeight="1">
      <c r="A2130" s="6">
        <v>2126</v>
      </c>
      <c r="B2130" s="11" t="s">
        <v>2016</v>
      </c>
      <c r="C2130" s="11">
        <f xml:space="preserve">     78950</f>
        <v>78950</v>
      </c>
      <c r="D2130" s="13"/>
      <c r="E2130" s="17"/>
      <c r="F2130" s="13"/>
      <c r="G2130" s="8">
        <f t="shared" si="33"/>
        <v>0</v>
      </c>
    </row>
    <row r="2131" spans="1:7" ht="15" customHeight="1">
      <c r="A2131" s="6">
        <v>2127</v>
      </c>
      <c r="B2131" s="11" t="s">
        <v>2017</v>
      </c>
      <c r="C2131" s="11">
        <f xml:space="preserve">     23700</f>
        <v>23700</v>
      </c>
      <c r="D2131" s="13"/>
      <c r="E2131" s="17"/>
      <c r="F2131" s="13"/>
      <c r="G2131" s="8">
        <f t="shared" si="33"/>
        <v>0</v>
      </c>
    </row>
    <row r="2132" spans="1:7" ht="15" customHeight="1">
      <c r="A2132" s="6">
        <v>2128</v>
      </c>
      <c r="B2132" s="11" t="s">
        <v>2018</v>
      </c>
      <c r="C2132" s="11">
        <f xml:space="preserve">     28350</f>
        <v>28350</v>
      </c>
      <c r="D2132" s="13"/>
      <c r="E2132" s="17"/>
      <c r="F2132" s="13"/>
      <c r="G2132" s="8">
        <f t="shared" si="33"/>
        <v>0</v>
      </c>
    </row>
    <row r="2133" spans="1:7" ht="15" customHeight="1">
      <c r="A2133" s="6">
        <v>2129</v>
      </c>
      <c r="B2133" s="11" t="s">
        <v>2019</v>
      </c>
      <c r="C2133" s="11">
        <f xml:space="preserve">     44850</f>
        <v>44850</v>
      </c>
      <c r="D2133" s="13"/>
      <c r="E2133" s="17"/>
      <c r="F2133" s="13"/>
      <c r="G2133" s="8">
        <f t="shared" si="33"/>
        <v>0</v>
      </c>
    </row>
    <row r="2134" spans="1:7" ht="15" customHeight="1">
      <c r="A2134" s="6">
        <v>2130</v>
      </c>
      <c r="B2134" s="11" t="s">
        <v>2020</v>
      </c>
      <c r="C2134" s="11">
        <f xml:space="preserve">     41000</f>
        <v>41000</v>
      </c>
      <c r="D2134" s="13"/>
      <c r="E2134" s="17"/>
      <c r="F2134" s="13"/>
      <c r="G2134" s="8">
        <f t="shared" si="33"/>
        <v>0</v>
      </c>
    </row>
    <row r="2135" spans="1:7" ht="15" customHeight="1">
      <c r="A2135" s="6">
        <v>2131</v>
      </c>
      <c r="B2135" s="11" t="s">
        <v>2021</v>
      </c>
      <c r="C2135" s="11">
        <f xml:space="preserve">     52900</f>
        <v>52900</v>
      </c>
      <c r="D2135" s="13"/>
      <c r="E2135" s="17"/>
      <c r="F2135" s="13"/>
      <c r="G2135" s="8">
        <f t="shared" si="33"/>
        <v>0</v>
      </c>
    </row>
    <row r="2136" spans="1:7" ht="15" customHeight="1">
      <c r="A2136" s="6">
        <v>2132</v>
      </c>
      <c r="B2136" s="11" t="s">
        <v>2022</v>
      </c>
      <c r="C2136" s="11">
        <f xml:space="preserve">    129350</f>
        <v>129350</v>
      </c>
      <c r="D2136" s="13"/>
      <c r="E2136" s="17"/>
      <c r="F2136" s="13"/>
      <c r="G2136" s="8">
        <f t="shared" si="33"/>
        <v>0</v>
      </c>
    </row>
    <row r="2137" spans="1:7" ht="15" customHeight="1">
      <c r="A2137" s="6">
        <v>2133</v>
      </c>
      <c r="B2137" s="11" t="s">
        <v>2023</v>
      </c>
      <c r="C2137" s="11">
        <f xml:space="preserve">     64500</f>
        <v>64500</v>
      </c>
      <c r="D2137" s="13"/>
      <c r="E2137" s="17"/>
      <c r="F2137" s="13"/>
      <c r="G2137" s="8">
        <f t="shared" si="33"/>
        <v>0</v>
      </c>
    </row>
    <row r="2138" spans="1:7" ht="15" customHeight="1">
      <c r="A2138" s="6">
        <v>2134</v>
      </c>
      <c r="B2138" s="11" t="s">
        <v>2024</v>
      </c>
      <c r="C2138" s="11">
        <f xml:space="preserve">     67850</f>
        <v>67850</v>
      </c>
      <c r="D2138" s="13"/>
      <c r="E2138" s="17"/>
      <c r="F2138" s="13"/>
      <c r="G2138" s="8">
        <f t="shared" si="33"/>
        <v>0</v>
      </c>
    </row>
    <row r="2139" spans="1:7" ht="15" customHeight="1">
      <c r="A2139" s="6">
        <v>2135</v>
      </c>
      <c r="B2139" s="11" t="s">
        <v>2025</v>
      </c>
      <c r="C2139" s="11">
        <f xml:space="preserve">     26950</f>
        <v>26950</v>
      </c>
      <c r="D2139" s="13"/>
      <c r="E2139" s="17"/>
      <c r="F2139" s="13"/>
      <c r="G2139" s="8">
        <f t="shared" si="33"/>
        <v>0</v>
      </c>
    </row>
    <row r="2140" spans="1:7" ht="15" customHeight="1">
      <c r="A2140" s="6">
        <v>2136</v>
      </c>
      <c r="B2140" s="11" t="s">
        <v>2026</v>
      </c>
      <c r="C2140" s="11">
        <f xml:space="preserve">     40100</f>
        <v>40100</v>
      </c>
      <c r="D2140" s="13"/>
      <c r="E2140" s="17"/>
      <c r="F2140" s="13"/>
      <c r="G2140" s="8">
        <f t="shared" si="33"/>
        <v>0</v>
      </c>
    </row>
    <row r="2141" spans="1:7" ht="15" customHeight="1">
      <c r="A2141" s="6">
        <v>2137</v>
      </c>
      <c r="B2141" s="11" t="s">
        <v>2027</v>
      </c>
      <c r="C2141" s="11">
        <f xml:space="preserve">     27200</f>
        <v>27200</v>
      </c>
      <c r="D2141" s="13"/>
      <c r="E2141" s="17"/>
      <c r="F2141" s="13"/>
      <c r="G2141" s="8">
        <f t="shared" si="33"/>
        <v>0</v>
      </c>
    </row>
    <row r="2142" spans="1:7" ht="15" customHeight="1">
      <c r="A2142" s="6">
        <v>2138</v>
      </c>
      <c r="B2142" s="11" t="s">
        <v>2028</v>
      </c>
      <c r="C2142" s="11">
        <f xml:space="preserve">     60250</f>
        <v>60250</v>
      </c>
      <c r="D2142" s="13"/>
      <c r="E2142" s="17"/>
      <c r="F2142" s="13"/>
      <c r="G2142" s="8">
        <f t="shared" si="33"/>
        <v>0</v>
      </c>
    </row>
    <row r="2143" spans="1:7" ht="15" customHeight="1">
      <c r="A2143" s="6">
        <v>2139</v>
      </c>
      <c r="B2143" s="11" t="s">
        <v>2029</v>
      </c>
      <c r="C2143" s="11">
        <f xml:space="preserve">     42000</f>
        <v>42000</v>
      </c>
      <c r="D2143" s="13"/>
      <c r="E2143" s="17"/>
      <c r="F2143" s="13"/>
      <c r="G2143" s="8">
        <f t="shared" si="33"/>
        <v>0</v>
      </c>
    </row>
    <row r="2144" spans="1:7" ht="15" customHeight="1">
      <c r="A2144" s="6">
        <v>2140</v>
      </c>
      <c r="B2144" s="11" t="s">
        <v>2030</v>
      </c>
      <c r="C2144" s="11">
        <f xml:space="preserve">     42800</f>
        <v>42800</v>
      </c>
      <c r="D2144" s="13"/>
      <c r="E2144" s="17"/>
      <c r="F2144" s="13"/>
      <c r="G2144" s="8">
        <f t="shared" si="33"/>
        <v>0</v>
      </c>
    </row>
    <row r="2145" spans="1:7" ht="15" customHeight="1">
      <c r="A2145" s="6">
        <v>2141</v>
      </c>
      <c r="B2145" s="11" t="s">
        <v>2031</v>
      </c>
      <c r="C2145" s="11">
        <f xml:space="preserve">     64650</f>
        <v>64650</v>
      </c>
      <c r="D2145" s="13"/>
      <c r="E2145" s="17"/>
      <c r="F2145" s="13"/>
      <c r="G2145" s="8">
        <f t="shared" si="33"/>
        <v>0</v>
      </c>
    </row>
    <row r="2146" spans="1:7" ht="15" customHeight="1">
      <c r="A2146" s="6">
        <v>2142</v>
      </c>
      <c r="B2146" s="11" t="s">
        <v>2032</v>
      </c>
      <c r="C2146" s="11">
        <f xml:space="preserve">     48200</f>
        <v>48200</v>
      </c>
      <c r="D2146" s="13"/>
      <c r="E2146" s="17"/>
      <c r="F2146" s="13"/>
      <c r="G2146" s="8">
        <f t="shared" si="33"/>
        <v>0</v>
      </c>
    </row>
    <row r="2147" spans="1:7" ht="15" customHeight="1">
      <c r="A2147" s="6">
        <v>2143</v>
      </c>
      <c r="B2147" s="11" t="s">
        <v>2033</v>
      </c>
      <c r="C2147" s="11">
        <f xml:space="preserve">     63700</f>
        <v>63700</v>
      </c>
      <c r="D2147" s="13"/>
      <c r="E2147" s="17"/>
      <c r="F2147" s="13"/>
      <c r="G2147" s="8">
        <f t="shared" si="33"/>
        <v>0</v>
      </c>
    </row>
    <row r="2148" spans="1:7" ht="15" customHeight="1">
      <c r="A2148" s="6">
        <v>2144</v>
      </c>
      <c r="B2148" s="11" t="s">
        <v>2034</v>
      </c>
      <c r="C2148" s="11">
        <f xml:space="preserve">     12000</f>
        <v>12000</v>
      </c>
      <c r="D2148" s="13"/>
      <c r="E2148" s="17"/>
      <c r="F2148" s="13"/>
      <c r="G2148" s="8">
        <f t="shared" si="33"/>
        <v>0</v>
      </c>
    </row>
    <row r="2149" spans="1:7" ht="15" customHeight="1">
      <c r="A2149" s="6">
        <v>2145</v>
      </c>
      <c r="B2149" s="11" t="s">
        <v>2035</v>
      </c>
      <c r="C2149" s="11">
        <f xml:space="preserve">      8450</f>
        <v>8450</v>
      </c>
      <c r="D2149" s="13"/>
      <c r="E2149" s="17"/>
      <c r="F2149" s="13"/>
      <c r="G2149" s="8">
        <f t="shared" si="33"/>
        <v>0</v>
      </c>
    </row>
    <row r="2150" spans="1:7" ht="15" customHeight="1">
      <c r="A2150" s="6">
        <v>2146</v>
      </c>
      <c r="B2150" s="11" t="s">
        <v>2036</v>
      </c>
      <c r="C2150" s="11">
        <f xml:space="preserve">     42250</f>
        <v>42250</v>
      </c>
      <c r="D2150" s="13"/>
      <c r="E2150" s="17"/>
      <c r="F2150" s="13"/>
      <c r="G2150" s="8">
        <f t="shared" si="33"/>
        <v>0</v>
      </c>
    </row>
    <row r="2151" spans="1:7" ht="15" customHeight="1">
      <c r="A2151" s="6">
        <v>2147</v>
      </c>
      <c r="B2151" s="11" t="s">
        <v>2036</v>
      </c>
      <c r="C2151" s="11">
        <f xml:space="preserve">     41450</f>
        <v>41450</v>
      </c>
      <c r="D2151" s="13"/>
      <c r="E2151" s="17"/>
      <c r="F2151" s="13"/>
      <c r="G2151" s="8">
        <f t="shared" si="33"/>
        <v>0</v>
      </c>
    </row>
    <row r="2152" spans="1:7" ht="15" customHeight="1">
      <c r="A2152" s="6">
        <v>2148</v>
      </c>
      <c r="B2152" s="11" t="s">
        <v>2037</v>
      </c>
      <c r="C2152" s="11">
        <f xml:space="preserve">     12500</f>
        <v>12500</v>
      </c>
      <c r="D2152" s="13"/>
      <c r="E2152" s="17"/>
      <c r="F2152" s="13"/>
      <c r="G2152" s="8">
        <f t="shared" si="33"/>
        <v>0</v>
      </c>
    </row>
    <row r="2153" spans="1:7" ht="15" customHeight="1">
      <c r="A2153" s="6">
        <v>2149</v>
      </c>
      <c r="B2153" s="11" t="s">
        <v>2038</v>
      </c>
      <c r="C2153" s="11">
        <f xml:space="preserve">     16600</f>
        <v>16600</v>
      </c>
      <c r="D2153" s="13"/>
      <c r="E2153" s="17"/>
      <c r="F2153" s="13"/>
      <c r="G2153" s="8">
        <f t="shared" si="33"/>
        <v>0</v>
      </c>
    </row>
    <row r="2154" spans="1:7" ht="15" customHeight="1">
      <c r="A2154" s="6">
        <v>2150</v>
      </c>
      <c r="B2154" s="11" t="s">
        <v>2039</v>
      </c>
      <c r="C2154" s="11">
        <f xml:space="preserve">    166750</f>
        <v>166750</v>
      </c>
      <c r="D2154" s="13"/>
      <c r="E2154" s="17"/>
      <c r="F2154" s="13"/>
      <c r="G2154" s="8">
        <f t="shared" si="33"/>
        <v>0</v>
      </c>
    </row>
    <row r="2155" spans="1:7" ht="15" customHeight="1">
      <c r="A2155" s="6">
        <v>2151</v>
      </c>
      <c r="B2155" s="11" t="s">
        <v>2040</v>
      </c>
      <c r="C2155" s="11">
        <f xml:space="preserve">     82800</f>
        <v>82800</v>
      </c>
      <c r="D2155" s="13"/>
      <c r="E2155" s="17"/>
      <c r="F2155" s="13"/>
      <c r="G2155" s="8">
        <f t="shared" si="33"/>
        <v>0</v>
      </c>
    </row>
    <row r="2156" spans="1:7" ht="15" customHeight="1">
      <c r="A2156" s="6">
        <v>2152</v>
      </c>
      <c r="B2156" s="11" t="s">
        <v>2041</v>
      </c>
      <c r="C2156" s="11">
        <f xml:space="preserve">    103550</f>
        <v>103550</v>
      </c>
      <c r="D2156" s="13"/>
      <c r="E2156" s="17"/>
      <c r="F2156" s="13"/>
      <c r="G2156" s="8">
        <f t="shared" si="33"/>
        <v>0</v>
      </c>
    </row>
    <row r="2157" spans="1:7" ht="15" customHeight="1">
      <c r="A2157" s="6">
        <v>2153</v>
      </c>
      <c r="B2157" s="11" t="s">
        <v>2042</v>
      </c>
      <c r="C2157" s="11">
        <f xml:space="preserve">     10900</f>
        <v>10900</v>
      </c>
      <c r="D2157" s="13"/>
      <c r="E2157" s="17"/>
      <c r="F2157" s="13"/>
      <c r="G2157" s="8">
        <f t="shared" si="33"/>
        <v>0</v>
      </c>
    </row>
    <row r="2158" spans="1:7" ht="15" customHeight="1">
      <c r="A2158" s="6">
        <v>2154</v>
      </c>
      <c r="B2158" s="11" t="s">
        <v>2043</v>
      </c>
      <c r="C2158" s="11">
        <f xml:space="preserve">      4600</f>
        <v>4600</v>
      </c>
      <c r="D2158" s="13"/>
      <c r="E2158" s="17"/>
      <c r="F2158" s="13"/>
      <c r="G2158" s="8">
        <f t="shared" si="33"/>
        <v>0</v>
      </c>
    </row>
    <row r="2159" spans="1:7" ht="15" customHeight="1">
      <c r="A2159" s="6">
        <v>2155</v>
      </c>
      <c r="B2159" s="11" t="s">
        <v>2044</v>
      </c>
      <c r="C2159" s="11">
        <f xml:space="preserve">     37700</f>
        <v>37700</v>
      </c>
      <c r="D2159" s="13"/>
      <c r="E2159" s="17"/>
      <c r="F2159" s="13"/>
      <c r="G2159" s="8">
        <f t="shared" si="33"/>
        <v>0</v>
      </c>
    </row>
    <row r="2160" spans="1:7" ht="15" customHeight="1">
      <c r="A2160" s="6">
        <v>2156</v>
      </c>
      <c r="B2160" s="11" t="s">
        <v>2045</v>
      </c>
      <c r="C2160" s="11">
        <f xml:space="preserve">      4900</f>
        <v>4900</v>
      </c>
      <c r="D2160" s="13"/>
      <c r="E2160" s="17"/>
      <c r="F2160" s="13"/>
      <c r="G2160" s="8">
        <f t="shared" si="33"/>
        <v>0</v>
      </c>
    </row>
    <row r="2161" spans="1:7" ht="15" customHeight="1">
      <c r="A2161" s="6">
        <v>2157</v>
      </c>
      <c r="B2161" s="11" t="s">
        <v>2046</v>
      </c>
      <c r="C2161" s="11">
        <f xml:space="preserve">     52600</f>
        <v>52600</v>
      </c>
      <c r="D2161" s="13"/>
      <c r="E2161" s="17"/>
      <c r="F2161" s="13"/>
      <c r="G2161" s="8">
        <f t="shared" si="33"/>
        <v>0</v>
      </c>
    </row>
    <row r="2162" spans="1:7" ht="15" customHeight="1">
      <c r="A2162" s="6">
        <v>2158</v>
      </c>
      <c r="B2162" s="11" t="s">
        <v>2047</v>
      </c>
      <c r="C2162" s="11">
        <f xml:space="preserve">     76100</f>
        <v>76100</v>
      </c>
      <c r="D2162" s="13"/>
      <c r="E2162" s="17"/>
      <c r="F2162" s="13"/>
      <c r="G2162" s="8">
        <f t="shared" si="33"/>
        <v>0</v>
      </c>
    </row>
    <row r="2163" spans="1:7" ht="15" customHeight="1">
      <c r="A2163" s="6">
        <v>2159</v>
      </c>
      <c r="B2163" s="11" t="s">
        <v>2048</v>
      </c>
      <c r="C2163" s="11">
        <f xml:space="preserve">     56700</f>
        <v>56700</v>
      </c>
      <c r="D2163" s="13"/>
      <c r="E2163" s="17"/>
      <c r="F2163" s="13"/>
      <c r="G2163" s="8">
        <f t="shared" si="33"/>
        <v>0</v>
      </c>
    </row>
    <row r="2164" spans="1:7" ht="15" customHeight="1">
      <c r="A2164" s="6">
        <v>2160</v>
      </c>
      <c r="B2164" s="11" t="s">
        <v>2049</v>
      </c>
      <c r="C2164" s="11">
        <f xml:space="preserve">     57350</f>
        <v>57350</v>
      </c>
      <c r="D2164" s="13"/>
      <c r="E2164" s="17"/>
      <c r="F2164" s="13"/>
      <c r="G2164" s="8">
        <f t="shared" si="33"/>
        <v>0</v>
      </c>
    </row>
    <row r="2165" spans="1:7" ht="15" customHeight="1">
      <c r="A2165" s="6">
        <v>2161</v>
      </c>
      <c r="B2165" s="11" t="s">
        <v>2050</v>
      </c>
      <c r="C2165" s="11">
        <f xml:space="preserve">     29600</f>
        <v>29600</v>
      </c>
      <c r="D2165" s="13"/>
      <c r="E2165" s="17"/>
      <c r="F2165" s="13"/>
      <c r="G2165" s="8">
        <f t="shared" si="33"/>
        <v>0</v>
      </c>
    </row>
    <row r="2166" spans="1:7" ht="15" customHeight="1">
      <c r="A2166" s="6">
        <v>2162</v>
      </c>
      <c r="B2166" s="11" t="s">
        <v>2051</v>
      </c>
      <c r="C2166" s="11">
        <f xml:space="preserve">      8850</f>
        <v>8850</v>
      </c>
      <c r="D2166" s="13"/>
      <c r="E2166" s="17"/>
      <c r="F2166" s="13"/>
      <c r="G2166" s="8">
        <f t="shared" si="33"/>
        <v>0</v>
      </c>
    </row>
    <row r="2167" spans="1:7" ht="15" customHeight="1">
      <c r="A2167" s="6">
        <v>2163</v>
      </c>
      <c r="B2167" s="11" t="s">
        <v>2052</v>
      </c>
      <c r="C2167" s="11">
        <f xml:space="preserve">    117250</f>
        <v>117250</v>
      </c>
      <c r="D2167" s="13"/>
      <c r="E2167" s="17"/>
      <c r="F2167" s="13"/>
      <c r="G2167" s="8">
        <f t="shared" si="33"/>
        <v>0</v>
      </c>
    </row>
    <row r="2168" spans="1:7" ht="15" customHeight="1">
      <c r="A2168" s="6">
        <v>2164</v>
      </c>
      <c r="B2168" s="11" t="s">
        <v>2053</v>
      </c>
      <c r="C2168" s="11">
        <f xml:space="preserve">     57300</f>
        <v>57300</v>
      </c>
      <c r="D2168" s="13"/>
      <c r="E2168" s="17"/>
      <c r="F2168" s="13"/>
      <c r="G2168" s="8">
        <f t="shared" si="33"/>
        <v>0</v>
      </c>
    </row>
    <row r="2169" spans="1:7" ht="15" customHeight="1">
      <c r="A2169" s="6">
        <v>2165</v>
      </c>
      <c r="B2169" s="11" t="s">
        <v>2054</v>
      </c>
      <c r="C2169" s="11">
        <f xml:space="preserve">     87350</f>
        <v>87350</v>
      </c>
      <c r="D2169" s="13"/>
      <c r="E2169" s="17"/>
      <c r="F2169" s="13"/>
      <c r="G2169" s="8">
        <f t="shared" si="33"/>
        <v>0</v>
      </c>
    </row>
    <row r="2170" spans="1:7" ht="15" customHeight="1">
      <c r="A2170" s="6">
        <v>2166</v>
      </c>
      <c r="B2170" s="11" t="s">
        <v>2055</v>
      </c>
      <c r="C2170" s="11">
        <f xml:space="preserve">     25650</f>
        <v>25650</v>
      </c>
      <c r="D2170" s="13"/>
      <c r="E2170" s="17"/>
      <c r="F2170" s="13"/>
      <c r="G2170" s="8">
        <f t="shared" si="33"/>
        <v>0</v>
      </c>
    </row>
    <row r="2171" spans="1:7" ht="15" customHeight="1">
      <c r="A2171" s="6">
        <v>2167</v>
      </c>
      <c r="B2171" s="11" t="s">
        <v>2056</v>
      </c>
      <c r="C2171" s="11">
        <f xml:space="preserve">     27500</f>
        <v>27500</v>
      </c>
      <c r="D2171" s="13"/>
      <c r="E2171" s="17"/>
      <c r="F2171" s="13"/>
      <c r="G2171" s="8">
        <f t="shared" si="33"/>
        <v>0</v>
      </c>
    </row>
    <row r="2172" spans="1:7" ht="15" customHeight="1">
      <c r="A2172" s="6">
        <v>2168</v>
      </c>
      <c r="B2172" s="11" t="s">
        <v>2057</v>
      </c>
      <c r="C2172" s="11">
        <f xml:space="preserve">     32650</f>
        <v>32650</v>
      </c>
      <c r="D2172" s="13"/>
      <c r="E2172" s="17"/>
      <c r="F2172" s="13"/>
      <c r="G2172" s="8">
        <f t="shared" si="33"/>
        <v>0</v>
      </c>
    </row>
    <row r="2173" spans="1:7" ht="15" customHeight="1">
      <c r="A2173" s="6">
        <v>2169</v>
      </c>
      <c r="B2173" s="11" t="s">
        <v>2058</v>
      </c>
      <c r="C2173" s="11">
        <f xml:space="preserve">      4900</f>
        <v>4900</v>
      </c>
      <c r="D2173" s="13"/>
      <c r="E2173" s="17"/>
      <c r="F2173" s="13"/>
      <c r="G2173" s="8">
        <f t="shared" ref="G2173:G2236" si="34">C2173*D2173+E2173*F2173</f>
        <v>0</v>
      </c>
    </row>
    <row r="2174" spans="1:7" ht="15" customHeight="1">
      <c r="A2174" s="6">
        <v>2170</v>
      </c>
      <c r="B2174" s="11" t="s">
        <v>2059</v>
      </c>
      <c r="C2174" s="11">
        <f xml:space="preserve">      3050</f>
        <v>3050</v>
      </c>
      <c r="D2174" s="13"/>
      <c r="E2174" s="17"/>
      <c r="F2174" s="13"/>
      <c r="G2174" s="8">
        <f t="shared" si="34"/>
        <v>0</v>
      </c>
    </row>
    <row r="2175" spans="1:7" ht="15" customHeight="1">
      <c r="A2175" s="6">
        <v>2171</v>
      </c>
      <c r="B2175" s="11" t="s">
        <v>2060</v>
      </c>
      <c r="C2175" s="11">
        <f xml:space="preserve">    159950</f>
        <v>159950</v>
      </c>
      <c r="D2175" s="13"/>
      <c r="E2175" s="17"/>
      <c r="F2175" s="13"/>
      <c r="G2175" s="8">
        <f t="shared" si="34"/>
        <v>0</v>
      </c>
    </row>
    <row r="2176" spans="1:7" ht="15" customHeight="1">
      <c r="A2176" s="6">
        <v>2172</v>
      </c>
      <c r="B2176" s="11" t="s">
        <v>2061</v>
      </c>
      <c r="C2176" s="11">
        <f xml:space="preserve">     35000</f>
        <v>35000</v>
      </c>
      <c r="D2176" s="13"/>
      <c r="E2176" s="17"/>
      <c r="F2176" s="13"/>
      <c r="G2176" s="8">
        <f t="shared" si="34"/>
        <v>0</v>
      </c>
    </row>
    <row r="2177" spans="1:7" ht="15" customHeight="1">
      <c r="A2177" s="6">
        <v>2173</v>
      </c>
      <c r="B2177" s="11" t="s">
        <v>2062</v>
      </c>
      <c r="C2177" s="11">
        <f xml:space="preserve">     26100</f>
        <v>26100</v>
      </c>
      <c r="D2177" s="13"/>
      <c r="E2177" s="17"/>
      <c r="F2177" s="13"/>
      <c r="G2177" s="8">
        <f t="shared" si="34"/>
        <v>0</v>
      </c>
    </row>
    <row r="2178" spans="1:7" ht="15" customHeight="1">
      <c r="A2178" s="6">
        <v>2174</v>
      </c>
      <c r="B2178" s="11" t="s">
        <v>2063</v>
      </c>
      <c r="C2178" s="11">
        <f xml:space="preserve">     24700</f>
        <v>24700</v>
      </c>
      <c r="D2178" s="13"/>
      <c r="E2178" s="17"/>
      <c r="F2178" s="13"/>
      <c r="G2178" s="8">
        <f t="shared" si="34"/>
        <v>0</v>
      </c>
    </row>
    <row r="2179" spans="1:7" ht="15" customHeight="1">
      <c r="A2179" s="6">
        <v>2175</v>
      </c>
      <c r="B2179" s="11" t="s">
        <v>2064</v>
      </c>
      <c r="C2179" s="11">
        <f xml:space="preserve">     56400</f>
        <v>56400</v>
      </c>
      <c r="D2179" s="13"/>
      <c r="E2179" s="17"/>
      <c r="F2179" s="13"/>
      <c r="G2179" s="8">
        <f t="shared" si="34"/>
        <v>0</v>
      </c>
    </row>
    <row r="2180" spans="1:7" ht="15" customHeight="1">
      <c r="A2180" s="6">
        <v>2176</v>
      </c>
      <c r="B2180" s="11" t="s">
        <v>2065</v>
      </c>
      <c r="C2180" s="11">
        <f xml:space="preserve">      5400</f>
        <v>5400</v>
      </c>
      <c r="D2180" s="13"/>
      <c r="E2180" s="17"/>
      <c r="F2180" s="13"/>
      <c r="G2180" s="8">
        <f t="shared" si="34"/>
        <v>0</v>
      </c>
    </row>
    <row r="2181" spans="1:7" ht="15" customHeight="1">
      <c r="A2181" s="6">
        <v>2177</v>
      </c>
      <c r="B2181" s="11" t="s">
        <v>2065</v>
      </c>
      <c r="C2181" s="11">
        <f xml:space="preserve">      5100</f>
        <v>5100</v>
      </c>
      <c r="D2181" s="13"/>
      <c r="E2181" s="17"/>
      <c r="F2181" s="13"/>
      <c r="G2181" s="8">
        <f t="shared" si="34"/>
        <v>0</v>
      </c>
    </row>
    <row r="2182" spans="1:7" ht="15" customHeight="1">
      <c r="A2182" s="6">
        <v>2178</v>
      </c>
      <c r="B2182" s="11" t="s">
        <v>2066</v>
      </c>
      <c r="C2182" s="11">
        <f xml:space="preserve">      6350</f>
        <v>6350</v>
      </c>
      <c r="D2182" s="13"/>
      <c r="E2182" s="17"/>
      <c r="F2182" s="13"/>
      <c r="G2182" s="8">
        <f t="shared" si="34"/>
        <v>0</v>
      </c>
    </row>
    <row r="2183" spans="1:7" ht="15" customHeight="1">
      <c r="A2183" s="6">
        <v>2179</v>
      </c>
      <c r="B2183" s="11" t="s">
        <v>2067</v>
      </c>
      <c r="C2183" s="11">
        <f xml:space="preserve">      9800</f>
        <v>9800</v>
      </c>
      <c r="D2183" s="13"/>
      <c r="E2183" s="17"/>
      <c r="F2183" s="13"/>
      <c r="G2183" s="8">
        <f t="shared" si="34"/>
        <v>0</v>
      </c>
    </row>
    <row r="2184" spans="1:7" ht="15" customHeight="1">
      <c r="A2184" s="6">
        <v>2180</v>
      </c>
      <c r="B2184" s="11" t="s">
        <v>2068</v>
      </c>
      <c r="C2184" s="11">
        <f xml:space="preserve">      9250</f>
        <v>9250</v>
      </c>
      <c r="D2184" s="13"/>
      <c r="E2184" s="17"/>
      <c r="F2184" s="13"/>
      <c r="G2184" s="8">
        <f t="shared" si="34"/>
        <v>0</v>
      </c>
    </row>
    <row r="2185" spans="1:7" ht="15" customHeight="1">
      <c r="A2185" s="6">
        <v>2181</v>
      </c>
      <c r="B2185" s="11" t="s">
        <v>2069</v>
      </c>
      <c r="C2185" s="11">
        <f xml:space="preserve">     10100</f>
        <v>10100</v>
      </c>
      <c r="D2185" s="13"/>
      <c r="E2185" s="17"/>
      <c r="F2185" s="13"/>
      <c r="G2185" s="8">
        <f t="shared" si="34"/>
        <v>0</v>
      </c>
    </row>
    <row r="2186" spans="1:7" ht="15" customHeight="1">
      <c r="A2186" s="6">
        <v>2182</v>
      </c>
      <c r="B2186" s="11" t="s">
        <v>2070</v>
      </c>
      <c r="C2186" s="11">
        <f xml:space="preserve">     37050</f>
        <v>37050</v>
      </c>
      <c r="D2186" s="13"/>
      <c r="E2186" s="17"/>
      <c r="F2186" s="13"/>
      <c r="G2186" s="8">
        <f t="shared" si="34"/>
        <v>0</v>
      </c>
    </row>
    <row r="2187" spans="1:7" ht="15" customHeight="1">
      <c r="A2187" s="6">
        <v>2183</v>
      </c>
      <c r="B2187" s="11" t="s">
        <v>2071</v>
      </c>
      <c r="C2187" s="11">
        <f xml:space="preserve">     12750</f>
        <v>12750</v>
      </c>
      <c r="D2187" s="13"/>
      <c r="E2187" s="17"/>
      <c r="F2187" s="13"/>
      <c r="G2187" s="8">
        <f t="shared" si="34"/>
        <v>0</v>
      </c>
    </row>
    <row r="2188" spans="1:7" ht="15" customHeight="1">
      <c r="A2188" s="6">
        <v>2184</v>
      </c>
      <c r="B2188" s="11" t="s">
        <v>2071</v>
      </c>
      <c r="C2188" s="11">
        <f xml:space="preserve">     12750</f>
        <v>12750</v>
      </c>
      <c r="D2188" s="13"/>
      <c r="E2188" s="17"/>
      <c r="F2188" s="13"/>
      <c r="G2188" s="8">
        <f t="shared" si="34"/>
        <v>0</v>
      </c>
    </row>
    <row r="2189" spans="1:7" ht="15" customHeight="1">
      <c r="A2189" s="6">
        <v>2185</v>
      </c>
      <c r="B2189" s="11" t="s">
        <v>2072</v>
      </c>
      <c r="C2189" s="11">
        <f xml:space="preserve">     21850</f>
        <v>21850</v>
      </c>
      <c r="D2189" s="13"/>
      <c r="E2189" s="17"/>
      <c r="F2189" s="13"/>
      <c r="G2189" s="8">
        <f t="shared" si="34"/>
        <v>0</v>
      </c>
    </row>
    <row r="2190" spans="1:7" ht="15" customHeight="1">
      <c r="A2190" s="6">
        <v>2186</v>
      </c>
      <c r="B2190" s="11" t="s">
        <v>2073</v>
      </c>
      <c r="C2190" s="11">
        <f xml:space="preserve">     31600</f>
        <v>31600</v>
      </c>
      <c r="D2190" s="13"/>
      <c r="E2190" s="17"/>
      <c r="F2190" s="13"/>
      <c r="G2190" s="8">
        <f t="shared" si="34"/>
        <v>0</v>
      </c>
    </row>
    <row r="2191" spans="1:7" ht="15" customHeight="1">
      <c r="A2191" s="6">
        <v>2187</v>
      </c>
      <c r="B2191" s="11" t="s">
        <v>2074</v>
      </c>
      <c r="C2191" s="11">
        <f xml:space="preserve">     18500</f>
        <v>18500</v>
      </c>
      <c r="D2191" s="13"/>
      <c r="E2191" s="17"/>
      <c r="F2191" s="13"/>
      <c r="G2191" s="8">
        <f t="shared" si="34"/>
        <v>0</v>
      </c>
    </row>
    <row r="2192" spans="1:7" ht="15" customHeight="1">
      <c r="A2192" s="6">
        <v>2188</v>
      </c>
      <c r="B2192" s="11" t="s">
        <v>2075</v>
      </c>
      <c r="C2192" s="11">
        <f xml:space="preserve">    168100</f>
        <v>168100</v>
      </c>
      <c r="D2192" s="13"/>
      <c r="E2192" s="17"/>
      <c r="F2192" s="13"/>
      <c r="G2192" s="8">
        <f t="shared" si="34"/>
        <v>0</v>
      </c>
    </row>
    <row r="2193" spans="1:7" ht="15" customHeight="1">
      <c r="A2193" s="6">
        <v>2189</v>
      </c>
      <c r="B2193" s="11" t="s">
        <v>2076</v>
      </c>
      <c r="C2193" s="11">
        <f xml:space="preserve">       710</f>
        <v>710</v>
      </c>
      <c r="D2193" s="13"/>
      <c r="E2193" s="17"/>
      <c r="F2193" s="13"/>
      <c r="G2193" s="8">
        <f t="shared" si="34"/>
        <v>0</v>
      </c>
    </row>
    <row r="2194" spans="1:7" ht="15" customHeight="1">
      <c r="A2194" s="6">
        <v>2190</v>
      </c>
      <c r="B2194" s="11" t="s">
        <v>2077</v>
      </c>
      <c r="C2194" s="11">
        <f xml:space="preserve">     33200</f>
        <v>33200</v>
      </c>
      <c r="D2194" s="13"/>
      <c r="E2194" s="17"/>
      <c r="F2194" s="13"/>
      <c r="G2194" s="8">
        <f t="shared" si="34"/>
        <v>0</v>
      </c>
    </row>
    <row r="2195" spans="1:7" ht="15" customHeight="1">
      <c r="A2195" s="6">
        <v>2191</v>
      </c>
      <c r="B2195" s="11" t="s">
        <v>2078</v>
      </c>
      <c r="C2195" s="11">
        <f xml:space="preserve">    150700</f>
        <v>150700</v>
      </c>
      <c r="D2195" s="13"/>
      <c r="E2195" s="17"/>
      <c r="F2195" s="13"/>
      <c r="G2195" s="8">
        <f t="shared" si="34"/>
        <v>0</v>
      </c>
    </row>
    <row r="2196" spans="1:7" ht="15" customHeight="1">
      <c r="A2196" s="6">
        <v>2192</v>
      </c>
      <c r="B2196" s="11" t="s">
        <v>2079</v>
      </c>
      <c r="C2196" s="11">
        <f xml:space="preserve">     33500</f>
        <v>33500</v>
      </c>
      <c r="D2196" s="13"/>
      <c r="E2196" s="17"/>
      <c r="F2196" s="13"/>
      <c r="G2196" s="8">
        <f t="shared" si="34"/>
        <v>0</v>
      </c>
    </row>
    <row r="2197" spans="1:7" ht="15" customHeight="1">
      <c r="A2197" s="6">
        <v>2193</v>
      </c>
      <c r="B2197" s="11" t="s">
        <v>2080</v>
      </c>
      <c r="C2197" s="11">
        <f xml:space="preserve">     64000</f>
        <v>64000</v>
      </c>
      <c r="D2197" s="13"/>
      <c r="E2197" s="17"/>
      <c r="F2197" s="13"/>
      <c r="G2197" s="8">
        <f t="shared" si="34"/>
        <v>0</v>
      </c>
    </row>
    <row r="2198" spans="1:7" ht="15" customHeight="1">
      <c r="A2198" s="6">
        <v>2194</v>
      </c>
      <c r="B2198" s="11" t="s">
        <v>2081</v>
      </c>
      <c r="C2198" s="11">
        <f xml:space="preserve">     84350</f>
        <v>84350</v>
      </c>
      <c r="D2198" s="13"/>
      <c r="E2198" s="17"/>
      <c r="F2198" s="13"/>
      <c r="G2198" s="8">
        <f t="shared" si="34"/>
        <v>0</v>
      </c>
    </row>
    <row r="2199" spans="1:7" ht="15" customHeight="1">
      <c r="A2199" s="6">
        <v>2195</v>
      </c>
      <c r="B2199" s="11" t="s">
        <v>2082</v>
      </c>
      <c r="C2199" s="11">
        <f xml:space="preserve">     35950</f>
        <v>35950</v>
      </c>
      <c r="D2199" s="13"/>
      <c r="E2199" s="17"/>
      <c r="F2199" s="13"/>
      <c r="G2199" s="8">
        <f t="shared" si="34"/>
        <v>0</v>
      </c>
    </row>
    <row r="2200" spans="1:7" ht="15" customHeight="1">
      <c r="A2200" s="6">
        <v>2196</v>
      </c>
      <c r="B2200" s="11" t="s">
        <v>2083</v>
      </c>
      <c r="C2200" s="11">
        <f xml:space="preserve">     15950</f>
        <v>15950</v>
      </c>
      <c r="D2200" s="13"/>
      <c r="E2200" s="17"/>
      <c r="F2200" s="13"/>
      <c r="G2200" s="8">
        <f t="shared" si="34"/>
        <v>0</v>
      </c>
    </row>
    <row r="2201" spans="1:7" ht="15" customHeight="1">
      <c r="A2201" s="6">
        <v>2197</v>
      </c>
      <c r="B2201" s="11" t="s">
        <v>2084</v>
      </c>
      <c r="C2201" s="11">
        <f xml:space="preserve">     40100</f>
        <v>40100</v>
      </c>
      <c r="D2201" s="13"/>
      <c r="E2201" s="17"/>
      <c r="F2201" s="13"/>
      <c r="G2201" s="8">
        <f t="shared" si="34"/>
        <v>0</v>
      </c>
    </row>
    <row r="2202" spans="1:7" ht="15" customHeight="1">
      <c r="A2202" s="6">
        <v>2198</v>
      </c>
      <c r="B2202" s="11" t="s">
        <v>2085</v>
      </c>
      <c r="C2202" s="11">
        <f xml:space="preserve">     54350</f>
        <v>54350</v>
      </c>
      <c r="D2202" s="13"/>
      <c r="E2202" s="17"/>
      <c r="F2202" s="13"/>
      <c r="G2202" s="8">
        <f t="shared" si="34"/>
        <v>0</v>
      </c>
    </row>
    <row r="2203" spans="1:7" ht="15" customHeight="1">
      <c r="A2203" s="6">
        <v>2199</v>
      </c>
      <c r="B2203" s="11" t="s">
        <v>2086</v>
      </c>
      <c r="C2203" s="11">
        <f xml:space="preserve">     51800</f>
        <v>51800</v>
      </c>
      <c r="D2203" s="13"/>
      <c r="E2203" s="17"/>
      <c r="F2203" s="13"/>
      <c r="G2203" s="8">
        <f t="shared" si="34"/>
        <v>0</v>
      </c>
    </row>
    <row r="2204" spans="1:7" ht="15" customHeight="1">
      <c r="A2204" s="6">
        <v>2200</v>
      </c>
      <c r="B2204" s="11" t="s">
        <v>2087</v>
      </c>
      <c r="C2204" s="11">
        <f xml:space="preserve">     48000</f>
        <v>48000</v>
      </c>
      <c r="D2204" s="13"/>
      <c r="E2204" s="17"/>
      <c r="F2204" s="13"/>
      <c r="G2204" s="8">
        <f t="shared" si="34"/>
        <v>0</v>
      </c>
    </row>
    <row r="2205" spans="1:7" ht="15" customHeight="1">
      <c r="A2205" s="6">
        <v>2201</v>
      </c>
      <c r="B2205" s="11" t="s">
        <v>2088</v>
      </c>
      <c r="C2205" s="11">
        <f xml:space="preserve">    106900</f>
        <v>106900</v>
      </c>
      <c r="D2205" s="13"/>
      <c r="E2205" s="17"/>
      <c r="F2205" s="13"/>
      <c r="G2205" s="8">
        <f t="shared" si="34"/>
        <v>0</v>
      </c>
    </row>
    <row r="2206" spans="1:7" ht="15" customHeight="1">
      <c r="A2206" s="6">
        <v>2202</v>
      </c>
      <c r="B2206" s="11" t="s">
        <v>2089</v>
      </c>
      <c r="C2206" s="11">
        <f xml:space="preserve">     45550</f>
        <v>45550</v>
      </c>
      <c r="D2206" s="13"/>
      <c r="E2206" s="17"/>
      <c r="F2206" s="13"/>
      <c r="G2206" s="8">
        <f t="shared" si="34"/>
        <v>0</v>
      </c>
    </row>
    <row r="2207" spans="1:7" ht="15" customHeight="1">
      <c r="A2207" s="6">
        <v>2203</v>
      </c>
      <c r="B2207" s="11" t="s">
        <v>2090</v>
      </c>
      <c r="C2207" s="11">
        <f xml:space="preserve">     48750</f>
        <v>48750</v>
      </c>
      <c r="D2207" s="13"/>
      <c r="E2207" s="17"/>
      <c r="F2207" s="13"/>
      <c r="G2207" s="8">
        <f t="shared" si="34"/>
        <v>0</v>
      </c>
    </row>
    <row r="2208" spans="1:7" ht="15" customHeight="1">
      <c r="A2208" s="6">
        <v>2204</v>
      </c>
      <c r="B2208" s="11" t="s">
        <v>2091</v>
      </c>
      <c r="C2208" s="11">
        <f xml:space="preserve">     59100</f>
        <v>59100</v>
      </c>
      <c r="D2208" s="13"/>
      <c r="E2208" s="17"/>
      <c r="F2208" s="13"/>
      <c r="G2208" s="8">
        <f t="shared" si="34"/>
        <v>0</v>
      </c>
    </row>
    <row r="2209" spans="1:7" ht="15" customHeight="1">
      <c r="A2209" s="6">
        <v>2205</v>
      </c>
      <c r="B2209" s="11" t="s">
        <v>2092</v>
      </c>
      <c r="C2209" s="11">
        <f xml:space="preserve">     49750</f>
        <v>49750</v>
      </c>
      <c r="D2209" s="13"/>
      <c r="E2209" s="17"/>
      <c r="F2209" s="13"/>
      <c r="G2209" s="8">
        <f t="shared" si="34"/>
        <v>0</v>
      </c>
    </row>
    <row r="2210" spans="1:7" ht="15" customHeight="1">
      <c r="A2210" s="6">
        <v>2206</v>
      </c>
      <c r="B2210" s="11" t="s">
        <v>2093</v>
      </c>
      <c r="C2210" s="11">
        <f xml:space="preserve">     52200</f>
        <v>52200</v>
      </c>
      <c r="D2210" s="13"/>
      <c r="E2210" s="17"/>
      <c r="F2210" s="13"/>
      <c r="G2210" s="8">
        <f t="shared" si="34"/>
        <v>0</v>
      </c>
    </row>
    <row r="2211" spans="1:7" ht="15" customHeight="1">
      <c r="A2211" s="6">
        <v>2207</v>
      </c>
      <c r="B2211" s="11" t="s">
        <v>2094</v>
      </c>
      <c r="C2211" s="11">
        <f xml:space="preserve">    115400</f>
        <v>115400</v>
      </c>
      <c r="D2211" s="13"/>
      <c r="E2211" s="17"/>
      <c r="F2211" s="13"/>
      <c r="G2211" s="8">
        <f t="shared" si="34"/>
        <v>0</v>
      </c>
    </row>
    <row r="2212" spans="1:7" ht="15" customHeight="1">
      <c r="A2212" s="6">
        <v>2208</v>
      </c>
      <c r="B2212" s="11" t="s">
        <v>2095</v>
      </c>
      <c r="C2212" s="11">
        <f xml:space="preserve">     34950</f>
        <v>34950</v>
      </c>
      <c r="D2212" s="13"/>
      <c r="E2212" s="17"/>
      <c r="F2212" s="13"/>
      <c r="G2212" s="8">
        <f t="shared" si="34"/>
        <v>0</v>
      </c>
    </row>
    <row r="2213" spans="1:7" ht="15" customHeight="1">
      <c r="A2213" s="6">
        <v>2209</v>
      </c>
      <c r="B2213" s="11" t="s">
        <v>2096</v>
      </c>
      <c r="C2213" s="11">
        <f xml:space="preserve">    147750</f>
        <v>147750</v>
      </c>
      <c r="D2213" s="13"/>
      <c r="E2213" s="17"/>
      <c r="F2213" s="13"/>
      <c r="G2213" s="8">
        <f t="shared" si="34"/>
        <v>0</v>
      </c>
    </row>
    <row r="2214" spans="1:7" ht="15" customHeight="1">
      <c r="A2214" s="6">
        <v>2210</v>
      </c>
      <c r="B2214" s="11" t="s">
        <v>2097</v>
      </c>
      <c r="C2214" s="11">
        <f xml:space="preserve">     53300</f>
        <v>53300</v>
      </c>
      <c r="D2214" s="13"/>
      <c r="E2214" s="17"/>
      <c r="F2214" s="13"/>
      <c r="G2214" s="8">
        <f t="shared" si="34"/>
        <v>0</v>
      </c>
    </row>
    <row r="2215" spans="1:7" ht="15" customHeight="1">
      <c r="A2215" s="6">
        <v>2211</v>
      </c>
      <c r="B2215" s="11" t="s">
        <v>2098</v>
      </c>
      <c r="C2215" s="11">
        <f xml:space="preserve">     17600</f>
        <v>17600</v>
      </c>
      <c r="D2215" s="13"/>
      <c r="E2215" s="17"/>
      <c r="F2215" s="13"/>
      <c r="G2215" s="8">
        <f t="shared" si="34"/>
        <v>0</v>
      </c>
    </row>
    <row r="2216" spans="1:7" ht="15" customHeight="1">
      <c r="A2216" s="6">
        <v>2212</v>
      </c>
      <c r="B2216" s="11" t="s">
        <v>2099</v>
      </c>
      <c r="C2216" s="11">
        <f xml:space="preserve">     32750</f>
        <v>32750</v>
      </c>
      <c r="D2216" s="13"/>
      <c r="E2216" s="17"/>
      <c r="F2216" s="13"/>
      <c r="G2216" s="8">
        <f t="shared" si="34"/>
        <v>0</v>
      </c>
    </row>
    <row r="2217" spans="1:7" ht="15" customHeight="1">
      <c r="A2217" s="6">
        <v>2213</v>
      </c>
      <c r="B2217" s="11" t="s">
        <v>2100</v>
      </c>
      <c r="C2217" s="11">
        <f xml:space="preserve">     39450</f>
        <v>39450</v>
      </c>
      <c r="D2217" s="13"/>
      <c r="E2217" s="17"/>
      <c r="F2217" s="13"/>
      <c r="G2217" s="8">
        <f t="shared" si="34"/>
        <v>0</v>
      </c>
    </row>
    <row r="2218" spans="1:7" ht="15" customHeight="1">
      <c r="A2218" s="6">
        <v>2214</v>
      </c>
      <c r="B2218" s="11" t="s">
        <v>2101</v>
      </c>
      <c r="C2218" s="11">
        <f xml:space="preserve">      7400</f>
        <v>7400</v>
      </c>
      <c r="D2218" s="13"/>
      <c r="E2218" s="17"/>
      <c r="F2218" s="13"/>
      <c r="G2218" s="8">
        <f t="shared" si="34"/>
        <v>0</v>
      </c>
    </row>
    <row r="2219" spans="1:7" ht="15" customHeight="1">
      <c r="A2219" s="6">
        <v>2215</v>
      </c>
      <c r="B2219" s="11" t="s">
        <v>2102</v>
      </c>
      <c r="C2219" s="11">
        <f xml:space="preserve">     10800</f>
        <v>10800</v>
      </c>
      <c r="D2219" s="13"/>
      <c r="E2219" s="17"/>
      <c r="F2219" s="13"/>
      <c r="G2219" s="8">
        <f t="shared" si="34"/>
        <v>0</v>
      </c>
    </row>
    <row r="2220" spans="1:7" ht="15" customHeight="1">
      <c r="A2220" s="6">
        <v>2216</v>
      </c>
      <c r="B2220" s="11" t="s">
        <v>2103</v>
      </c>
      <c r="C2220" s="11">
        <f xml:space="preserve">    124500</f>
        <v>124500</v>
      </c>
      <c r="D2220" s="13"/>
      <c r="E2220" s="17"/>
      <c r="F2220" s="13"/>
      <c r="G2220" s="8">
        <f t="shared" si="34"/>
        <v>0</v>
      </c>
    </row>
    <row r="2221" spans="1:7" ht="15" customHeight="1">
      <c r="A2221" s="6">
        <v>2217</v>
      </c>
      <c r="B2221" s="11" t="s">
        <v>2104</v>
      </c>
      <c r="C2221" s="11">
        <f xml:space="preserve">    109200</f>
        <v>109200</v>
      </c>
      <c r="D2221" s="13"/>
      <c r="E2221" s="17"/>
      <c r="F2221" s="13"/>
      <c r="G2221" s="8">
        <f t="shared" si="34"/>
        <v>0</v>
      </c>
    </row>
    <row r="2222" spans="1:7" ht="15" customHeight="1">
      <c r="A2222" s="6">
        <v>2218</v>
      </c>
      <c r="B2222" s="11" t="s">
        <v>2105</v>
      </c>
      <c r="C2222" s="11">
        <f xml:space="preserve">      2000</f>
        <v>2000</v>
      </c>
      <c r="D2222" s="13"/>
      <c r="E2222" s="17"/>
      <c r="F2222" s="13"/>
      <c r="G2222" s="8">
        <f t="shared" si="34"/>
        <v>0</v>
      </c>
    </row>
    <row r="2223" spans="1:7" ht="15" customHeight="1">
      <c r="A2223" s="6">
        <v>2219</v>
      </c>
      <c r="B2223" s="11" t="s">
        <v>2106</v>
      </c>
      <c r="C2223" s="11">
        <f xml:space="preserve">     77200</f>
        <v>77200</v>
      </c>
      <c r="D2223" s="13"/>
      <c r="E2223" s="17"/>
      <c r="F2223" s="13"/>
      <c r="G2223" s="8">
        <f t="shared" si="34"/>
        <v>0</v>
      </c>
    </row>
    <row r="2224" spans="1:7" ht="15" customHeight="1">
      <c r="A2224" s="6">
        <v>2220</v>
      </c>
      <c r="B2224" s="11" t="s">
        <v>2107</v>
      </c>
      <c r="C2224" s="11">
        <f xml:space="preserve">     56900</f>
        <v>56900</v>
      </c>
      <c r="D2224" s="13"/>
      <c r="E2224" s="17"/>
      <c r="F2224" s="13"/>
      <c r="G2224" s="8">
        <f t="shared" si="34"/>
        <v>0</v>
      </c>
    </row>
    <row r="2225" spans="1:7" ht="15" customHeight="1">
      <c r="A2225" s="6">
        <v>2221</v>
      </c>
      <c r="B2225" s="11" t="s">
        <v>2108</v>
      </c>
      <c r="C2225" s="11">
        <f xml:space="preserve">     39400</f>
        <v>39400</v>
      </c>
      <c r="D2225" s="13"/>
      <c r="E2225" s="17"/>
      <c r="F2225" s="13"/>
      <c r="G2225" s="8">
        <f t="shared" si="34"/>
        <v>0</v>
      </c>
    </row>
    <row r="2226" spans="1:7" ht="15" customHeight="1">
      <c r="A2226" s="6">
        <v>2222</v>
      </c>
      <c r="B2226" s="11" t="s">
        <v>2109</v>
      </c>
      <c r="C2226" s="11">
        <f xml:space="preserve">     16800</f>
        <v>16800</v>
      </c>
      <c r="D2226" s="13"/>
      <c r="E2226" s="17"/>
      <c r="F2226" s="13"/>
      <c r="G2226" s="8">
        <f t="shared" si="34"/>
        <v>0</v>
      </c>
    </row>
    <row r="2227" spans="1:7" ht="15" customHeight="1">
      <c r="A2227" s="6">
        <v>2223</v>
      </c>
      <c r="B2227" s="11" t="s">
        <v>2110</v>
      </c>
      <c r="C2227" s="11">
        <f xml:space="preserve">     12100</f>
        <v>12100</v>
      </c>
      <c r="D2227" s="13"/>
      <c r="E2227" s="17"/>
      <c r="F2227" s="13"/>
      <c r="G2227" s="8">
        <f t="shared" si="34"/>
        <v>0</v>
      </c>
    </row>
    <row r="2228" spans="1:7" ht="15" customHeight="1">
      <c r="A2228" s="6">
        <v>2224</v>
      </c>
      <c r="B2228" s="11" t="s">
        <v>2111</v>
      </c>
      <c r="C2228" s="11">
        <f xml:space="preserve">      9300</f>
        <v>9300</v>
      </c>
      <c r="D2228" s="13"/>
      <c r="E2228" s="17"/>
      <c r="F2228" s="13"/>
      <c r="G2228" s="8">
        <f t="shared" si="34"/>
        <v>0</v>
      </c>
    </row>
    <row r="2229" spans="1:7" ht="15" customHeight="1">
      <c r="A2229" s="6">
        <v>2225</v>
      </c>
      <c r="B2229" s="11" t="s">
        <v>2112</v>
      </c>
      <c r="C2229" s="11">
        <f xml:space="preserve">      9850</f>
        <v>9850</v>
      </c>
      <c r="D2229" s="13"/>
      <c r="E2229" s="17"/>
      <c r="F2229" s="13"/>
      <c r="G2229" s="8">
        <f t="shared" si="34"/>
        <v>0</v>
      </c>
    </row>
    <row r="2230" spans="1:7" ht="15" customHeight="1">
      <c r="A2230" s="6">
        <v>2226</v>
      </c>
      <c r="B2230" s="11" t="s">
        <v>2113</v>
      </c>
      <c r="C2230" s="11">
        <f xml:space="preserve">     14900</f>
        <v>14900</v>
      </c>
      <c r="D2230" s="13"/>
      <c r="E2230" s="17"/>
      <c r="F2230" s="13"/>
      <c r="G2230" s="8">
        <f t="shared" si="34"/>
        <v>0</v>
      </c>
    </row>
    <row r="2231" spans="1:7" ht="15" customHeight="1">
      <c r="A2231" s="6">
        <v>2227</v>
      </c>
      <c r="B2231" s="11" t="s">
        <v>2114</v>
      </c>
      <c r="C2231" s="11">
        <f xml:space="preserve">     72700</f>
        <v>72700</v>
      </c>
      <c r="D2231" s="13"/>
      <c r="E2231" s="17"/>
      <c r="F2231" s="13"/>
      <c r="G2231" s="8">
        <f t="shared" si="34"/>
        <v>0</v>
      </c>
    </row>
    <row r="2232" spans="1:7" ht="15" customHeight="1">
      <c r="A2232" s="6">
        <v>2228</v>
      </c>
      <c r="B2232" s="11" t="s">
        <v>2115</v>
      </c>
      <c r="C2232" s="11">
        <f xml:space="preserve">    112200</f>
        <v>112200</v>
      </c>
      <c r="D2232" s="13"/>
      <c r="E2232" s="17"/>
      <c r="F2232" s="13"/>
      <c r="G2232" s="8">
        <f t="shared" si="34"/>
        <v>0</v>
      </c>
    </row>
    <row r="2233" spans="1:7" ht="15" customHeight="1">
      <c r="A2233" s="6">
        <v>2229</v>
      </c>
      <c r="B2233" s="11" t="s">
        <v>2116</v>
      </c>
      <c r="C2233" s="11">
        <f xml:space="preserve">    165150</f>
        <v>165150</v>
      </c>
      <c r="D2233" s="13"/>
      <c r="E2233" s="17"/>
      <c r="F2233" s="13"/>
      <c r="G2233" s="8">
        <f t="shared" si="34"/>
        <v>0</v>
      </c>
    </row>
    <row r="2234" spans="1:7" ht="15" customHeight="1">
      <c r="A2234" s="6">
        <v>2230</v>
      </c>
      <c r="B2234" s="11" t="s">
        <v>2117</v>
      </c>
      <c r="C2234" s="11">
        <f xml:space="preserve">     34550</f>
        <v>34550</v>
      </c>
      <c r="D2234" s="13"/>
      <c r="E2234" s="17"/>
      <c r="F2234" s="13"/>
      <c r="G2234" s="8">
        <f t="shared" si="34"/>
        <v>0</v>
      </c>
    </row>
    <row r="2235" spans="1:7" ht="15" customHeight="1">
      <c r="A2235" s="6">
        <v>2231</v>
      </c>
      <c r="B2235" s="11" t="s">
        <v>2118</v>
      </c>
      <c r="C2235" s="11">
        <f xml:space="preserve">    151100</f>
        <v>151100</v>
      </c>
      <c r="D2235" s="13"/>
      <c r="E2235" s="17"/>
      <c r="F2235" s="13"/>
      <c r="G2235" s="8">
        <f t="shared" si="34"/>
        <v>0</v>
      </c>
    </row>
    <row r="2236" spans="1:7" ht="15" customHeight="1">
      <c r="A2236" s="6">
        <v>2232</v>
      </c>
      <c r="B2236" s="11" t="s">
        <v>2119</v>
      </c>
      <c r="C2236" s="11">
        <f xml:space="preserve">     17300</f>
        <v>17300</v>
      </c>
      <c r="D2236" s="13"/>
      <c r="E2236" s="17"/>
      <c r="F2236" s="13"/>
      <c r="G2236" s="8">
        <f t="shared" si="34"/>
        <v>0</v>
      </c>
    </row>
    <row r="2237" spans="1:7" ht="15" customHeight="1">
      <c r="A2237" s="6">
        <v>2233</v>
      </c>
      <c r="B2237" s="11" t="s">
        <v>2120</v>
      </c>
      <c r="C2237" s="11">
        <f xml:space="preserve">    110900</f>
        <v>110900</v>
      </c>
      <c r="D2237" s="13"/>
      <c r="E2237" s="17"/>
      <c r="F2237" s="13"/>
      <c r="G2237" s="8">
        <f t="shared" ref="G2237:G2300" si="35">C2237*D2237+E2237*F2237</f>
        <v>0</v>
      </c>
    </row>
    <row r="2238" spans="1:7" ht="15" customHeight="1">
      <c r="A2238" s="6">
        <v>2234</v>
      </c>
      <c r="B2238" s="11" t="s">
        <v>2121</v>
      </c>
      <c r="C2238" s="11">
        <f xml:space="preserve">     91850</f>
        <v>91850</v>
      </c>
      <c r="D2238" s="13"/>
      <c r="E2238" s="17"/>
      <c r="F2238" s="13"/>
      <c r="G2238" s="8">
        <f t="shared" si="35"/>
        <v>0</v>
      </c>
    </row>
    <row r="2239" spans="1:7" ht="15" customHeight="1">
      <c r="A2239" s="6">
        <v>2235</v>
      </c>
      <c r="B2239" s="11" t="s">
        <v>2122</v>
      </c>
      <c r="C2239" s="11">
        <f xml:space="preserve">     35200</f>
        <v>35200</v>
      </c>
      <c r="D2239" s="13"/>
      <c r="E2239" s="17"/>
      <c r="F2239" s="13"/>
      <c r="G2239" s="8">
        <f t="shared" si="35"/>
        <v>0</v>
      </c>
    </row>
    <row r="2240" spans="1:7" ht="15" customHeight="1">
      <c r="A2240" s="6">
        <v>2236</v>
      </c>
      <c r="B2240" s="11" t="s">
        <v>2123</v>
      </c>
      <c r="C2240" s="11">
        <f xml:space="preserve">     27800</f>
        <v>27800</v>
      </c>
      <c r="D2240" s="13"/>
      <c r="E2240" s="17"/>
      <c r="F2240" s="13"/>
      <c r="G2240" s="8">
        <f t="shared" si="35"/>
        <v>0</v>
      </c>
    </row>
    <row r="2241" spans="1:7" ht="15" customHeight="1">
      <c r="A2241" s="6">
        <v>2237</v>
      </c>
      <c r="B2241" s="11" t="s">
        <v>2124</v>
      </c>
      <c r="C2241" s="11">
        <f xml:space="preserve">     83350</f>
        <v>83350</v>
      </c>
      <c r="D2241" s="13"/>
      <c r="E2241" s="17"/>
      <c r="F2241" s="13"/>
      <c r="G2241" s="8">
        <f t="shared" si="35"/>
        <v>0</v>
      </c>
    </row>
    <row r="2242" spans="1:7" ht="15" customHeight="1">
      <c r="A2242" s="6">
        <v>2238</v>
      </c>
      <c r="B2242" s="11" t="s">
        <v>2125</v>
      </c>
      <c r="C2242" s="11">
        <f xml:space="preserve">    109900</f>
        <v>109900</v>
      </c>
      <c r="D2242" s="13"/>
      <c r="E2242" s="17"/>
      <c r="F2242" s="13"/>
      <c r="G2242" s="8">
        <f t="shared" si="35"/>
        <v>0</v>
      </c>
    </row>
    <row r="2243" spans="1:7" ht="15" customHeight="1">
      <c r="A2243" s="6">
        <v>2239</v>
      </c>
      <c r="B2243" s="11" t="s">
        <v>2126</v>
      </c>
      <c r="C2243" s="11">
        <f xml:space="preserve">    108500</f>
        <v>108500</v>
      </c>
      <c r="D2243" s="13"/>
      <c r="E2243" s="17"/>
      <c r="F2243" s="13"/>
      <c r="G2243" s="8">
        <f t="shared" si="35"/>
        <v>0</v>
      </c>
    </row>
    <row r="2244" spans="1:7" ht="15" customHeight="1">
      <c r="A2244" s="6">
        <v>2240</v>
      </c>
      <c r="B2244" s="11" t="s">
        <v>2127</v>
      </c>
      <c r="C2244" s="11">
        <f xml:space="preserve">    108800</f>
        <v>108800</v>
      </c>
      <c r="D2244" s="13"/>
      <c r="E2244" s="17"/>
      <c r="F2244" s="18"/>
      <c r="G2244" s="8">
        <f t="shared" si="35"/>
        <v>0</v>
      </c>
    </row>
    <row r="2245" spans="1:7" ht="15" customHeight="1">
      <c r="A2245" s="6">
        <v>2241</v>
      </c>
      <c r="B2245" s="11" t="s">
        <v>2128</v>
      </c>
      <c r="C2245" s="11">
        <f xml:space="preserve">      6850</f>
        <v>6850</v>
      </c>
      <c r="D2245" s="13"/>
      <c r="E2245" s="17"/>
      <c r="F2245" s="18"/>
      <c r="G2245" s="8">
        <f t="shared" si="35"/>
        <v>0</v>
      </c>
    </row>
    <row r="2246" spans="1:7" ht="15" customHeight="1">
      <c r="A2246" s="6">
        <v>2242</v>
      </c>
      <c r="B2246" s="11" t="s">
        <v>2129</v>
      </c>
      <c r="C2246" s="11">
        <f xml:space="preserve">     17800</f>
        <v>17800</v>
      </c>
      <c r="D2246" s="13"/>
      <c r="E2246" s="17"/>
      <c r="F2246" s="18"/>
      <c r="G2246" s="8">
        <f t="shared" si="35"/>
        <v>0</v>
      </c>
    </row>
    <row r="2247" spans="1:7" ht="15" customHeight="1">
      <c r="A2247" s="6">
        <v>2243</v>
      </c>
      <c r="B2247" s="11" t="s">
        <v>2130</v>
      </c>
      <c r="C2247" s="11">
        <f xml:space="preserve">     10550</f>
        <v>10550</v>
      </c>
      <c r="D2247" s="13"/>
      <c r="E2247" s="17"/>
      <c r="F2247" s="18"/>
      <c r="G2247" s="8">
        <f t="shared" si="35"/>
        <v>0</v>
      </c>
    </row>
    <row r="2248" spans="1:7" ht="15" customHeight="1">
      <c r="A2248" s="6">
        <v>2244</v>
      </c>
      <c r="B2248" s="11" t="s">
        <v>2131</v>
      </c>
      <c r="C2248" s="11">
        <f xml:space="preserve">     34300</f>
        <v>34300</v>
      </c>
      <c r="D2248" s="13"/>
      <c r="E2248" s="17"/>
      <c r="F2248" s="18"/>
      <c r="G2248" s="8">
        <f t="shared" si="35"/>
        <v>0</v>
      </c>
    </row>
    <row r="2249" spans="1:7" ht="15" customHeight="1">
      <c r="A2249" s="6">
        <v>2245</v>
      </c>
      <c r="B2249" s="11" t="s">
        <v>2132</v>
      </c>
      <c r="C2249" s="11">
        <f xml:space="preserve">     47500</f>
        <v>47500</v>
      </c>
      <c r="D2249" s="13"/>
      <c r="E2249" s="17"/>
      <c r="F2249" s="18"/>
      <c r="G2249" s="8">
        <f t="shared" si="35"/>
        <v>0</v>
      </c>
    </row>
    <row r="2250" spans="1:7" ht="15" customHeight="1">
      <c r="A2250" s="6">
        <v>2246</v>
      </c>
      <c r="B2250" s="11" t="s">
        <v>2133</v>
      </c>
      <c r="C2250" s="11">
        <f xml:space="preserve">     80400</f>
        <v>80400</v>
      </c>
      <c r="D2250" s="13"/>
      <c r="E2250" s="17"/>
      <c r="F2250" s="18"/>
      <c r="G2250" s="8">
        <f t="shared" si="35"/>
        <v>0</v>
      </c>
    </row>
    <row r="2251" spans="1:7" ht="15" customHeight="1">
      <c r="A2251" s="6">
        <v>2247</v>
      </c>
      <c r="B2251" s="11" t="s">
        <v>2134</v>
      </c>
      <c r="C2251" s="11">
        <f xml:space="preserve">     13800</f>
        <v>13800</v>
      </c>
      <c r="D2251" s="13"/>
      <c r="E2251" s="17"/>
      <c r="F2251" s="18"/>
      <c r="G2251" s="8">
        <f t="shared" si="35"/>
        <v>0</v>
      </c>
    </row>
    <row r="2252" spans="1:7" ht="15" customHeight="1">
      <c r="A2252" s="6">
        <v>2248</v>
      </c>
      <c r="B2252" s="11" t="s">
        <v>2135</v>
      </c>
      <c r="C2252" s="11">
        <f xml:space="preserve">    153900</f>
        <v>153900</v>
      </c>
      <c r="D2252" s="13"/>
      <c r="E2252" s="17"/>
      <c r="F2252" s="18"/>
      <c r="G2252" s="8">
        <f t="shared" si="35"/>
        <v>0</v>
      </c>
    </row>
    <row r="2253" spans="1:7" ht="15" customHeight="1">
      <c r="A2253" s="6">
        <v>2249</v>
      </c>
      <c r="B2253" s="11" t="s">
        <v>2136</v>
      </c>
      <c r="C2253" s="11">
        <f xml:space="preserve">     73400</f>
        <v>73400</v>
      </c>
      <c r="D2253" s="13"/>
      <c r="E2253" s="17"/>
      <c r="F2253" s="18"/>
      <c r="G2253" s="8">
        <f t="shared" si="35"/>
        <v>0</v>
      </c>
    </row>
    <row r="2254" spans="1:7" ht="15" customHeight="1">
      <c r="A2254" s="6">
        <v>2250</v>
      </c>
      <c r="B2254" s="11" t="s">
        <v>2137</v>
      </c>
      <c r="C2254" s="11">
        <f xml:space="preserve">    129000</f>
        <v>129000</v>
      </c>
      <c r="D2254" s="13"/>
      <c r="E2254" s="17"/>
      <c r="F2254" s="18"/>
      <c r="G2254" s="8">
        <f t="shared" si="35"/>
        <v>0</v>
      </c>
    </row>
    <row r="2255" spans="1:7" ht="15" customHeight="1">
      <c r="A2255" s="6">
        <v>2251</v>
      </c>
      <c r="B2255" s="11" t="s">
        <v>2137</v>
      </c>
      <c r="C2255" s="11">
        <f xml:space="preserve">    129000</f>
        <v>129000</v>
      </c>
      <c r="D2255" s="13"/>
      <c r="E2255" s="17"/>
      <c r="F2255" s="18"/>
      <c r="G2255" s="8">
        <f t="shared" si="35"/>
        <v>0</v>
      </c>
    </row>
    <row r="2256" spans="1:7" ht="15" customHeight="1">
      <c r="A2256" s="6">
        <v>2252</v>
      </c>
      <c r="B2256" s="11" t="s">
        <v>2138</v>
      </c>
      <c r="C2256" s="11">
        <f xml:space="preserve">     41450</f>
        <v>41450</v>
      </c>
      <c r="D2256" s="13"/>
      <c r="E2256" s="17"/>
      <c r="F2256" s="18"/>
      <c r="G2256" s="8">
        <f t="shared" si="35"/>
        <v>0</v>
      </c>
    </row>
    <row r="2257" spans="1:7" ht="15" customHeight="1">
      <c r="A2257" s="6">
        <v>2253</v>
      </c>
      <c r="B2257" s="11" t="s">
        <v>2139</v>
      </c>
      <c r="C2257" s="11">
        <f xml:space="preserve">    101550</f>
        <v>101550</v>
      </c>
      <c r="D2257" s="20"/>
      <c r="E2257" s="17"/>
      <c r="F2257" s="21"/>
      <c r="G2257" s="8">
        <f t="shared" si="35"/>
        <v>0</v>
      </c>
    </row>
    <row r="2258" spans="1:7" ht="15" customHeight="1">
      <c r="A2258" s="6">
        <v>2254</v>
      </c>
      <c r="B2258" s="11" t="s">
        <v>2140</v>
      </c>
      <c r="C2258" s="11">
        <f xml:space="preserve">    111250</f>
        <v>111250</v>
      </c>
      <c r="D2258" s="13"/>
      <c r="E2258" s="17"/>
      <c r="F2258" s="18"/>
      <c r="G2258" s="19">
        <f t="shared" si="35"/>
        <v>0</v>
      </c>
    </row>
    <row r="2259" spans="1:7" ht="15" customHeight="1">
      <c r="A2259" s="6">
        <v>2255</v>
      </c>
      <c r="B2259" s="11" t="s">
        <v>2141</v>
      </c>
      <c r="C2259" s="11">
        <f xml:space="preserve">     41500</f>
        <v>41500</v>
      </c>
      <c r="D2259" s="13"/>
      <c r="E2259" s="17"/>
      <c r="F2259" s="18"/>
      <c r="G2259" s="19">
        <f t="shared" si="35"/>
        <v>0</v>
      </c>
    </row>
    <row r="2260" spans="1:7" ht="15" customHeight="1">
      <c r="A2260" s="6">
        <v>2256</v>
      </c>
      <c r="B2260" s="11" t="s">
        <v>2142</v>
      </c>
      <c r="C2260" s="11">
        <f xml:space="preserve">     44600</f>
        <v>44600</v>
      </c>
      <c r="D2260" s="13"/>
      <c r="E2260" s="17"/>
      <c r="F2260" s="18"/>
      <c r="G2260" s="8">
        <f t="shared" si="35"/>
        <v>0</v>
      </c>
    </row>
    <row r="2261" spans="1:7" ht="15" customHeight="1">
      <c r="A2261" s="6">
        <v>2257</v>
      </c>
      <c r="B2261" s="11" t="s">
        <v>2143</v>
      </c>
      <c r="C2261" s="11">
        <f xml:space="preserve">     44550</f>
        <v>44550</v>
      </c>
      <c r="D2261" s="13"/>
      <c r="E2261" s="17"/>
      <c r="F2261" s="18"/>
      <c r="G2261" s="8">
        <f t="shared" si="35"/>
        <v>0</v>
      </c>
    </row>
    <row r="2262" spans="1:7" ht="15" customHeight="1">
      <c r="A2262" s="6">
        <v>2258</v>
      </c>
      <c r="B2262" s="11" t="s">
        <v>2144</v>
      </c>
      <c r="C2262" s="11">
        <f xml:space="preserve">     42100</f>
        <v>42100</v>
      </c>
      <c r="D2262" s="13"/>
      <c r="E2262" s="17"/>
      <c r="F2262" s="18"/>
      <c r="G2262" s="19">
        <f t="shared" si="35"/>
        <v>0</v>
      </c>
    </row>
    <row r="2263" spans="1:7" ht="15" customHeight="1">
      <c r="A2263" s="6">
        <v>2259</v>
      </c>
      <c r="B2263" s="11" t="s">
        <v>2145</v>
      </c>
      <c r="C2263" s="11">
        <f xml:space="preserve">     43200</f>
        <v>43200</v>
      </c>
      <c r="D2263" s="13"/>
      <c r="E2263" s="17"/>
      <c r="F2263" s="18"/>
      <c r="G2263" s="19">
        <f t="shared" si="35"/>
        <v>0</v>
      </c>
    </row>
    <row r="2264" spans="1:7" ht="15" customHeight="1">
      <c r="A2264" s="6">
        <v>2260</v>
      </c>
      <c r="B2264" s="11" t="s">
        <v>2146</v>
      </c>
      <c r="C2264" s="11">
        <f xml:space="preserve">    125000</f>
        <v>125000</v>
      </c>
      <c r="D2264" s="13"/>
      <c r="E2264" s="17"/>
      <c r="F2264" s="18"/>
      <c r="G2264" s="8">
        <f t="shared" si="35"/>
        <v>0</v>
      </c>
    </row>
    <row r="2265" spans="1:7" ht="15" customHeight="1">
      <c r="A2265" s="6">
        <v>2261</v>
      </c>
      <c r="B2265" s="11" t="s">
        <v>2147</v>
      </c>
      <c r="C2265" s="11">
        <f xml:space="preserve">     28150</f>
        <v>28150</v>
      </c>
      <c r="D2265" s="13"/>
      <c r="E2265" s="17"/>
      <c r="F2265" s="18"/>
      <c r="G2265" s="8">
        <f t="shared" si="35"/>
        <v>0</v>
      </c>
    </row>
    <row r="2266" spans="1:7" ht="15" customHeight="1">
      <c r="A2266" s="6">
        <v>2262</v>
      </c>
      <c r="B2266" s="11" t="s">
        <v>2148</v>
      </c>
      <c r="C2266" s="11">
        <f xml:space="preserve">     20550</f>
        <v>20550</v>
      </c>
      <c r="D2266" s="13"/>
      <c r="E2266" s="17"/>
      <c r="F2266" s="18"/>
      <c r="G2266" s="19">
        <f t="shared" si="35"/>
        <v>0</v>
      </c>
    </row>
    <row r="2267" spans="1:7" ht="15" customHeight="1">
      <c r="A2267" s="6">
        <v>2263</v>
      </c>
      <c r="B2267" s="11" t="s">
        <v>2149</v>
      </c>
      <c r="C2267" s="11">
        <f xml:space="preserve">     48300</f>
        <v>48300</v>
      </c>
      <c r="D2267" s="13"/>
      <c r="E2267" s="17"/>
      <c r="F2267" s="18"/>
      <c r="G2267" s="19">
        <f t="shared" si="35"/>
        <v>0</v>
      </c>
    </row>
    <row r="2268" spans="1:7" ht="15" customHeight="1">
      <c r="A2268" s="6">
        <v>2264</v>
      </c>
      <c r="B2268" s="11" t="s">
        <v>2150</v>
      </c>
      <c r="C2268" s="11">
        <f xml:space="preserve">     60300</f>
        <v>60300</v>
      </c>
      <c r="D2268" s="13"/>
      <c r="E2268" s="17"/>
      <c r="F2268" s="18"/>
      <c r="G2268" s="8">
        <f t="shared" si="35"/>
        <v>0</v>
      </c>
    </row>
    <row r="2269" spans="1:7" ht="15" customHeight="1">
      <c r="A2269" s="6">
        <v>2265</v>
      </c>
      <c r="B2269" s="11" t="s">
        <v>2151</v>
      </c>
      <c r="C2269" s="11">
        <f xml:space="preserve">     48350</f>
        <v>48350</v>
      </c>
      <c r="D2269" s="13"/>
      <c r="E2269" s="17"/>
      <c r="F2269" s="18"/>
      <c r="G2269" s="8">
        <f t="shared" si="35"/>
        <v>0</v>
      </c>
    </row>
    <row r="2270" spans="1:7" ht="15" customHeight="1">
      <c r="A2270" s="6">
        <v>2266</v>
      </c>
      <c r="B2270" s="11" t="s">
        <v>2152</v>
      </c>
      <c r="C2270" s="11">
        <f xml:space="preserve">     51500</f>
        <v>51500</v>
      </c>
      <c r="D2270" s="13"/>
      <c r="E2270" s="17"/>
      <c r="F2270" s="18"/>
      <c r="G2270" s="19">
        <f t="shared" si="35"/>
        <v>0</v>
      </c>
    </row>
    <row r="2271" spans="1:7" ht="15" customHeight="1">
      <c r="A2271" s="6">
        <v>2267</v>
      </c>
      <c r="B2271" s="11" t="s">
        <v>2153</v>
      </c>
      <c r="C2271" s="11">
        <f xml:space="preserve">    247400</f>
        <v>247400</v>
      </c>
      <c r="D2271" s="13"/>
      <c r="E2271" s="17"/>
      <c r="F2271" s="18"/>
      <c r="G2271" s="19">
        <f t="shared" si="35"/>
        <v>0</v>
      </c>
    </row>
    <row r="2272" spans="1:7" ht="15" customHeight="1">
      <c r="A2272" s="6">
        <v>2268</v>
      </c>
      <c r="B2272" s="11" t="s">
        <v>2154</v>
      </c>
      <c r="C2272" s="11">
        <f xml:space="preserve">     85350</f>
        <v>85350</v>
      </c>
      <c r="D2272" s="13"/>
      <c r="E2272" s="17"/>
      <c r="F2272" s="18"/>
      <c r="G2272" s="8">
        <f t="shared" si="35"/>
        <v>0</v>
      </c>
    </row>
    <row r="2273" spans="1:7" ht="15" customHeight="1">
      <c r="A2273" s="6">
        <v>2269</v>
      </c>
      <c r="B2273" s="11" t="s">
        <v>2155</v>
      </c>
      <c r="C2273" s="11">
        <f xml:space="preserve">     31950</f>
        <v>31950</v>
      </c>
      <c r="D2273" s="13"/>
      <c r="E2273" s="17"/>
      <c r="F2273" s="18"/>
      <c r="G2273" s="8">
        <f t="shared" si="35"/>
        <v>0</v>
      </c>
    </row>
    <row r="2274" spans="1:7" ht="15" customHeight="1">
      <c r="A2274" s="6">
        <v>2270</v>
      </c>
      <c r="B2274" s="11" t="s">
        <v>2156</v>
      </c>
      <c r="C2274" s="11">
        <f xml:space="preserve">     38600</f>
        <v>38600</v>
      </c>
      <c r="D2274" s="13"/>
      <c r="E2274" s="17"/>
      <c r="F2274" s="18"/>
      <c r="G2274" s="19">
        <f t="shared" si="35"/>
        <v>0</v>
      </c>
    </row>
    <row r="2275" spans="1:7" ht="15" customHeight="1">
      <c r="A2275" s="6">
        <v>2271</v>
      </c>
      <c r="B2275" s="11" t="s">
        <v>2157</v>
      </c>
      <c r="C2275" s="11">
        <f xml:space="preserve">     34450</f>
        <v>34450</v>
      </c>
      <c r="D2275" s="13"/>
      <c r="E2275" s="17"/>
      <c r="F2275" s="18"/>
      <c r="G2275" s="19">
        <f t="shared" si="35"/>
        <v>0</v>
      </c>
    </row>
    <row r="2276" spans="1:7" ht="15" customHeight="1">
      <c r="A2276" s="6">
        <v>2272</v>
      </c>
      <c r="B2276" s="11" t="s">
        <v>2158</v>
      </c>
      <c r="C2276" s="11">
        <f xml:space="preserve">     36250</f>
        <v>36250</v>
      </c>
      <c r="D2276" s="13"/>
      <c r="E2276" s="17"/>
      <c r="F2276" s="18"/>
      <c r="G2276" s="8">
        <f t="shared" si="35"/>
        <v>0</v>
      </c>
    </row>
    <row r="2277" spans="1:7" ht="15" customHeight="1">
      <c r="A2277" s="6">
        <v>2273</v>
      </c>
      <c r="B2277" s="11" t="s">
        <v>2159</v>
      </c>
      <c r="C2277" s="11">
        <f xml:space="preserve">     70100</f>
        <v>70100</v>
      </c>
      <c r="D2277" s="13"/>
      <c r="E2277" s="17"/>
      <c r="F2277" s="18"/>
      <c r="G2277" s="8">
        <f t="shared" si="35"/>
        <v>0</v>
      </c>
    </row>
    <row r="2278" spans="1:7" ht="15" customHeight="1">
      <c r="A2278" s="6">
        <v>2274</v>
      </c>
      <c r="B2278" s="11" t="s">
        <v>2485</v>
      </c>
      <c r="C2278" s="11">
        <f xml:space="preserve">     71000</f>
        <v>71000</v>
      </c>
      <c r="D2278" s="13"/>
      <c r="E2278" s="17"/>
      <c r="F2278" s="18"/>
      <c r="G2278" s="19">
        <f t="shared" si="35"/>
        <v>0</v>
      </c>
    </row>
    <row r="2279" spans="1:7" ht="15" customHeight="1">
      <c r="A2279" s="6">
        <v>2275</v>
      </c>
      <c r="B2279" s="11" t="s">
        <v>2160</v>
      </c>
      <c r="C2279" s="11">
        <f xml:space="preserve">    240500</f>
        <v>240500</v>
      </c>
      <c r="D2279" s="13"/>
      <c r="E2279" s="17"/>
      <c r="F2279" s="18"/>
      <c r="G2279" s="19">
        <f t="shared" si="35"/>
        <v>0</v>
      </c>
    </row>
    <row r="2280" spans="1:7" ht="15" customHeight="1">
      <c r="A2280" s="6">
        <v>2276</v>
      </c>
      <c r="B2280" s="11" t="s">
        <v>2161</v>
      </c>
      <c r="C2280" s="11">
        <f xml:space="preserve">     35000</f>
        <v>35000</v>
      </c>
      <c r="D2280" s="13"/>
      <c r="E2280" s="17"/>
      <c r="F2280" s="18"/>
      <c r="G2280" s="8">
        <f t="shared" si="35"/>
        <v>0</v>
      </c>
    </row>
    <row r="2281" spans="1:7" ht="15" customHeight="1">
      <c r="A2281" s="6">
        <v>2277</v>
      </c>
      <c r="B2281" s="11" t="s">
        <v>2162</v>
      </c>
      <c r="C2281" s="11">
        <f xml:space="preserve">     37550</f>
        <v>37550</v>
      </c>
      <c r="D2281" s="13"/>
      <c r="E2281" s="17"/>
      <c r="F2281" s="18"/>
      <c r="G2281" s="8">
        <f t="shared" si="35"/>
        <v>0</v>
      </c>
    </row>
    <row r="2282" spans="1:7" ht="15" customHeight="1">
      <c r="A2282" s="6">
        <v>2278</v>
      </c>
      <c r="B2282" s="11" t="s">
        <v>2163</v>
      </c>
      <c r="C2282" s="11">
        <f xml:space="preserve">     44500</f>
        <v>44500</v>
      </c>
      <c r="D2282" s="13"/>
      <c r="E2282" s="17"/>
      <c r="F2282" s="18"/>
      <c r="G2282" s="19">
        <f t="shared" si="35"/>
        <v>0</v>
      </c>
    </row>
    <row r="2283" spans="1:7" ht="15" customHeight="1">
      <c r="A2283" s="6">
        <v>2279</v>
      </c>
      <c r="B2283" s="11" t="s">
        <v>2164</v>
      </c>
      <c r="C2283" s="11">
        <f xml:space="preserve">     16350</f>
        <v>16350</v>
      </c>
      <c r="D2283" s="13"/>
      <c r="E2283" s="17"/>
      <c r="F2283" s="18"/>
      <c r="G2283" s="19">
        <f t="shared" si="35"/>
        <v>0</v>
      </c>
    </row>
    <row r="2284" spans="1:7" ht="15" customHeight="1">
      <c r="A2284" s="6">
        <v>2280</v>
      </c>
      <c r="B2284" s="11" t="s">
        <v>2165</v>
      </c>
      <c r="C2284" s="11">
        <f xml:space="preserve">      4850</f>
        <v>4850</v>
      </c>
      <c r="D2284" s="13"/>
      <c r="E2284" s="17"/>
      <c r="F2284" s="18"/>
      <c r="G2284" s="8">
        <f t="shared" si="35"/>
        <v>0</v>
      </c>
    </row>
    <row r="2285" spans="1:7" ht="15" customHeight="1">
      <c r="A2285" s="6">
        <v>2281</v>
      </c>
      <c r="B2285" s="11" t="s">
        <v>2166</v>
      </c>
      <c r="C2285" s="11">
        <f xml:space="preserve">      3250</f>
        <v>3250</v>
      </c>
      <c r="D2285" s="13"/>
      <c r="E2285" s="17"/>
      <c r="F2285" s="18"/>
      <c r="G2285" s="8">
        <f t="shared" si="35"/>
        <v>0</v>
      </c>
    </row>
    <row r="2286" spans="1:7" ht="15" customHeight="1">
      <c r="A2286" s="6">
        <v>2282</v>
      </c>
      <c r="B2286" s="11" t="s">
        <v>2167</v>
      </c>
      <c r="C2286" s="11">
        <f xml:space="preserve">      4950</f>
        <v>4950</v>
      </c>
      <c r="D2286" s="13"/>
      <c r="E2286" s="17"/>
      <c r="F2286" s="18"/>
      <c r="G2286" s="19">
        <f t="shared" si="35"/>
        <v>0</v>
      </c>
    </row>
    <row r="2287" spans="1:7" ht="15" customHeight="1">
      <c r="A2287" s="6">
        <v>2283</v>
      </c>
      <c r="B2287" s="11" t="s">
        <v>2168</v>
      </c>
      <c r="C2287" s="11">
        <f xml:space="preserve">      9650</f>
        <v>9650</v>
      </c>
      <c r="D2287" s="13"/>
      <c r="E2287" s="17"/>
      <c r="F2287" s="18"/>
      <c r="G2287" s="19">
        <f t="shared" si="35"/>
        <v>0</v>
      </c>
    </row>
    <row r="2288" spans="1:7" ht="15" customHeight="1">
      <c r="A2288" s="6">
        <v>2284</v>
      </c>
      <c r="B2288" s="11" t="s">
        <v>2169</v>
      </c>
      <c r="C2288" s="11">
        <f xml:space="preserve">      2500</f>
        <v>2500</v>
      </c>
      <c r="D2288" s="13"/>
      <c r="E2288" s="17"/>
      <c r="F2288" s="18"/>
      <c r="G2288" s="8">
        <f t="shared" si="35"/>
        <v>0</v>
      </c>
    </row>
    <row r="2289" spans="1:7" ht="15" customHeight="1">
      <c r="A2289" s="6">
        <v>2285</v>
      </c>
      <c r="B2289" s="11" t="s">
        <v>2170</v>
      </c>
      <c r="C2289" s="11">
        <f xml:space="preserve">      5750</f>
        <v>5750</v>
      </c>
      <c r="D2289" s="13"/>
      <c r="E2289" s="17"/>
      <c r="F2289" s="18"/>
      <c r="G2289" s="8">
        <f t="shared" si="35"/>
        <v>0</v>
      </c>
    </row>
    <row r="2290" spans="1:7" ht="15" customHeight="1">
      <c r="A2290" s="6">
        <v>2286</v>
      </c>
      <c r="B2290" s="11" t="s">
        <v>2171</v>
      </c>
      <c r="C2290" s="11">
        <f xml:space="preserve">      5200</f>
        <v>5200</v>
      </c>
      <c r="D2290" s="13"/>
      <c r="E2290" s="17"/>
      <c r="F2290" s="18"/>
      <c r="G2290" s="19">
        <f t="shared" si="35"/>
        <v>0</v>
      </c>
    </row>
    <row r="2291" spans="1:7" ht="15" customHeight="1">
      <c r="A2291" s="6">
        <v>2287</v>
      </c>
      <c r="B2291" s="11" t="s">
        <v>2172</v>
      </c>
      <c r="C2291" s="11">
        <f xml:space="preserve">     10800</f>
        <v>10800</v>
      </c>
      <c r="D2291" s="13"/>
      <c r="E2291" s="17"/>
      <c r="F2291" s="18"/>
      <c r="G2291" s="19">
        <f t="shared" si="35"/>
        <v>0</v>
      </c>
    </row>
    <row r="2292" spans="1:7" ht="15" customHeight="1">
      <c r="A2292" s="6">
        <v>2288</v>
      </c>
      <c r="B2292" s="11" t="s">
        <v>2173</v>
      </c>
      <c r="C2292" s="11">
        <f xml:space="preserve">     21250</f>
        <v>21250</v>
      </c>
      <c r="D2292" s="13"/>
      <c r="E2292" s="17"/>
      <c r="F2292" s="18"/>
      <c r="G2292" s="8">
        <f t="shared" si="35"/>
        <v>0</v>
      </c>
    </row>
    <row r="2293" spans="1:7" ht="15" customHeight="1">
      <c r="A2293" s="6">
        <v>2289</v>
      </c>
      <c r="B2293" s="11" t="s">
        <v>2174</v>
      </c>
      <c r="C2293" s="11">
        <f xml:space="preserve">     54300</f>
        <v>54300</v>
      </c>
      <c r="D2293" s="13"/>
      <c r="E2293" s="17"/>
      <c r="F2293" s="18"/>
      <c r="G2293" s="8">
        <f t="shared" si="35"/>
        <v>0</v>
      </c>
    </row>
    <row r="2294" spans="1:7" ht="15" customHeight="1">
      <c r="A2294" s="6">
        <v>2290</v>
      </c>
      <c r="B2294" s="11" t="s">
        <v>2175</v>
      </c>
      <c r="C2294" s="11">
        <f xml:space="preserve">     85500</f>
        <v>85500</v>
      </c>
      <c r="D2294" s="13"/>
      <c r="E2294" s="17"/>
      <c r="F2294" s="18"/>
      <c r="G2294" s="19">
        <f t="shared" si="35"/>
        <v>0</v>
      </c>
    </row>
    <row r="2295" spans="1:7" ht="15" customHeight="1">
      <c r="A2295" s="6">
        <v>2291</v>
      </c>
      <c r="B2295" s="11" t="s">
        <v>2176</v>
      </c>
      <c r="C2295" s="11">
        <f xml:space="preserve">     18150</f>
        <v>18150</v>
      </c>
      <c r="D2295" s="13"/>
      <c r="E2295" s="17"/>
      <c r="F2295" s="18"/>
      <c r="G2295" s="19">
        <f t="shared" si="35"/>
        <v>0</v>
      </c>
    </row>
    <row r="2296" spans="1:7" ht="15" customHeight="1">
      <c r="A2296" s="6">
        <v>2292</v>
      </c>
      <c r="B2296" s="11" t="s">
        <v>2177</v>
      </c>
      <c r="C2296" s="11">
        <f xml:space="preserve">     16550</f>
        <v>16550</v>
      </c>
      <c r="D2296" s="13"/>
      <c r="E2296" s="17"/>
      <c r="F2296" s="18"/>
      <c r="G2296" s="8">
        <f t="shared" si="35"/>
        <v>0</v>
      </c>
    </row>
    <row r="2297" spans="1:7" ht="15" customHeight="1">
      <c r="A2297" s="6">
        <v>2293</v>
      </c>
      <c r="B2297" s="11" t="s">
        <v>2178</v>
      </c>
      <c r="C2297" s="11">
        <f xml:space="preserve">     13450</f>
        <v>13450</v>
      </c>
      <c r="D2297" s="13"/>
      <c r="E2297" s="17"/>
      <c r="F2297" s="18"/>
      <c r="G2297" s="8">
        <f t="shared" si="35"/>
        <v>0</v>
      </c>
    </row>
    <row r="2298" spans="1:7" ht="15" customHeight="1">
      <c r="A2298" s="6">
        <v>2294</v>
      </c>
      <c r="B2298" s="11" t="s">
        <v>2179</v>
      </c>
      <c r="C2298" s="11">
        <f xml:space="preserve">     13350</f>
        <v>13350</v>
      </c>
      <c r="D2298" s="13"/>
      <c r="E2298" s="17"/>
      <c r="F2298" s="18"/>
      <c r="G2298" s="19">
        <f t="shared" si="35"/>
        <v>0</v>
      </c>
    </row>
    <row r="2299" spans="1:7" ht="15" customHeight="1">
      <c r="A2299" s="6">
        <v>2295</v>
      </c>
      <c r="B2299" s="11" t="s">
        <v>2180</v>
      </c>
      <c r="C2299" s="11">
        <f xml:space="preserve">     13450</f>
        <v>13450</v>
      </c>
      <c r="D2299" s="13"/>
      <c r="E2299" s="17"/>
      <c r="F2299" s="18"/>
      <c r="G2299" s="19">
        <f t="shared" si="35"/>
        <v>0</v>
      </c>
    </row>
    <row r="2300" spans="1:7" ht="15" customHeight="1">
      <c r="A2300" s="6">
        <v>2296</v>
      </c>
      <c r="B2300" s="11" t="s">
        <v>2181</v>
      </c>
      <c r="C2300" s="11">
        <f xml:space="preserve">     13450</f>
        <v>13450</v>
      </c>
      <c r="D2300" s="13"/>
      <c r="E2300" s="17"/>
      <c r="F2300" s="18"/>
      <c r="G2300" s="8">
        <f t="shared" si="35"/>
        <v>0</v>
      </c>
    </row>
    <row r="2301" spans="1:7" ht="15" customHeight="1">
      <c r="A2301" s="6">
        <v>2297</v>
      </c>
      <c r="B2301" s="11" t="s">
        <v>2182</v>
      </c>
      <c r="C2301" s="11">
        <f xml:space="preserve">     13450</f>
        <v>13450</v>
      </c>
      <c r="D2301" s="13"/>
      <c r="E2301" s="17"/>
      <c r="F2301" s="18"/>
      <c r="G2301" s="8">
        <f t="shared" ref="G2301:G2364" si="36">C2301*D2301+E2301*F2301</f>
        <v>0</v>
      </c>
    </row>
    <row r="2302" spans="1:7" ht="15" customHeight="1">
      <c r="A2302" s="6">
        <v>2298</v>
      </c>
      <c r="B2302" s="11" t="s">
        <v>2183</v>
      </c>
      <c r="C2302" s="11">
        <f xml:space="preserve">     38200</f>
        <v>38200</v>
      </c>
      <c r="D2302" s="13"/>
      <c r="E2302" s="17"/>
      <c r="F2302" s="18"/>
      <c r="G2302" s="19">
        <f t="shared" si="36"/>
        <v>0</v>
      </c>
    </row>
    <row r="2303" spans="1:7" ht="15" customHeight="1">
      <c r="A2303" s="6">
        <v>2299</v>
      </c>
      <c r="B2303" s="11" t="s">
        <v>2184</v>
      </c>
      <c r="C2303" s="11">
        <f xml:space="preserve">     14750</f>
        <v>14750</v>
      </c>
      <c r="D2303" s="13"/>
      <c r="E2303" s="17"/>
      <c r="F2303" s="18"/>
      <c r="G2303" s="19">
        <f t="shared" si="36"/>
        <v>0</v>
      </c>
    </row>
    <row r="2304" spans="1:7" ht="15" customHeight="1">
      <c r="A2304" s="6">
        <v>2300</v>
      </c>
      <c r="B2304" s="11" t="s">
        <v>2185</v>
      </c>
      <c r="C2304" s="11">
        <f xml:space="preserve">      9900</f>
        <v>9900</v>
      </c>
      <c r="D2304" s="13"/>
      <c r="E2304" s="17"/>
      <c r="F2304" s="18"/>
      <c r="G2304" s="8">
        <f t="shared" si="36"/>
        <v>0</v>
      </c>
    </row>
    <row r="2305" spans="1:7" ht="15" customHeight="1">
      <c r="A2305" s="6">
        <v>2301</v>
      </c>
      <c r="B2305" s="11" t="s">
        <v>2186</v>
      </c>
      <c r="C2305" s="11">
        <f xml:space="preserve">     58850</f>
        <v>58850</v>
      </c>
      <c r="D2305" s="13"/>
      <c r="E2305" s="17"/>
      <c r="F2305" s="18"/>
      <c r="G2305" s="8">
        <f t="shared" si="36"/>
        <v>0</v>
      </c>
    </row>
    <row r="2306" spans="1:7" ht="15" customHeight="1">
      <c r="A2306" s="6">
        <v>2302</v>
      </c>
      <c r="B2306" s="11" t="s">
        <v>2187</v>
      </c>
      <c r="C2306" s="11">
        <f xml:space="preserve">      2550</f>
        <v>2550</v>
      </c>
      <c r="D2306" s="13"/>
      <c r="E2306" s="17"/>
      <c r="F2306" s="18"/>
      <c r="G2306" s="19">
        <f t="shared" si="36"/>
        <v>0</v>
      </c>
    </row>
    <row r="2307" spans="1:7" ht="15" customHeight="1">
      <c r="A2307" s="6">
        <v>2303</v>
      </c>
      <c r="B2307" s="11" t="s">
        <v>2188</v>
      </c>
      <c r="C2307" s="11">
        <f xml:space="preserve">     37500</f>
        <v>37500</v>
      </c>
      <c r="D2307" s="13"/>
      <c r="E2307" s="17"/>
      <c r="F2307" s="18"/>
      <c r="G2307" s="19">
        <f t="shared" si="36"/>
        <v>0</v>
      </c>
    </row>
    <row r="2308" spans="1:7" ht="15" customHeight="1">
      <c r="A2308" s="6">
        <v>2304</v>
      </c>
      <c r="B2308" s="11" t="s">
        <v>2189</v>
      </c>
      <c r="C2308" s="11">
        <f xml:space="preserve">    223100</f>
        <v>223100</v>
      </c>
      <c r="D2308" s="13"/>
      <c r="E2308" s="17"/>
      <c r="F2308" s="18"/>
      <c r="G2308" s="8">
        <f t="shared" si="36"/>
        <v>0</v>
      </c>
    </row>
    <row r="2309" spans="1:7" ht="15" customHeight="1">
      <c r="A2309" s="6">
        <v>2305</v>
      </c>
      <c r="B2309" s="11" t="s">
        <v>2190</v>
      </c>
      <c r="C2309" s="11">
        <f xml:space="preserve">    114550</f>
        <v>114550</v>
      </c>
      <c r="D2309" s="13"/>
      <c r="E2309" s="17"/>
      <c r="F2309" s="18"/>
      <c r="G2309" s="8">
        <f t="shared" si="36"/>
        <v>0</v>
      </c>
    </row>
    <row r="2310" spans="1:7" ht="15" customHeight="1">
      <c r="A2310" s="6">
        <v>2306</v>
      </c>
      <c r="B2310" s="11" t="s">
        <v>2191</v>
      </c>
      <c r="C2310" s="11">
        <f xml:space="preserve">     43950</f>
        <v>43950</v>
      </c>
      <c r="D2310" s="13"/>
      <c r="E2310" s="17"/>
      <c r="F2310" s="18"/>
      <c r="G2310" s="19">
        <f t="shared" si="36"/>
        <v>0</v>
      </c>
    </row>
    <row r="2311" spans="1:7" ht="15" customHeight="1">
      <c r="A2311" s="6">
        <v>2307</v>
      </c>
      <c r="B2311" s="11" t="s">
        <v>2192</v>
      </c>
      <c r="C2311" s="11">
        <f xml:space="preserve">     57550</f>
        <v>57550</v>
      </c>
      <c r="D2311" s="13"/>
      <c r="E2311" s="17"/>
      <c r="F2311" s="18"/>
      <c r="G2311" s="19">
        <f t="shared" si="36"/>
        <v>0</v>
      </c>
    </row>
    <row r="2312" spans="1:7" ht="15" customHeight="1">
      <c r="A2312" s="6">
        <v>2308</v>
      </c>
      <c r="B2312" s="11" t="s">
        <v>2193</v>
      </c>
      <c r="C2312" s="11">
        <f xml:space="preserve">     66750</f>
        <v>66750</v>
      </c>
      <c r="D2312" s="13"/>
      <c r="E2312" s="17"/>
      <c r="F2312" s="18"/>
      <c r="G2312" s="8">
        <f t="shared" si="36"/>
        <v>0</v>
      </c>
    </row>
    <row r="2313" spans="1:7" ht="15" customHeight="1">
      <c r="A2313" s="6">
        <v>2309</v>
      </c>
      <c r="B2313" s="11" t="s">
        <v>2194</v>
      </c>
      <c r="C2313" s="11">
        <f xml:space="preserve">    154200</f>
        <v>154200</v>
      </c>
      <c r="D2313" s="13"/>
      <c r="E2313" s="17"/>
      <c r="F2313" s="18"/>
      <c r="G2313" s="8">
        <f t="shared" si="36"/>
        <v>0</v>
      </c>
    </row>
    <row r="2314" spans="1:7" ht="15" customHeight="1">
      <c r="A2314" s="6">
        <v>2310</v>
      </c>
      <c r="B2314" s="11" t="s">
        <v>2195</v>
      </c>
      <c r="C2314" s="11">
        <f xml:space="preserve">     38750</f>
        <v>38750</v>
      </c>
      <c r="D2314" s="13"/>
      <c r="E2314" s="17"/>
      <c r="F2314" s="18"/>
      <c r="G2314" s="19">
        <f t="shared" si="36"/>
        <v>0</v>
      </c>
    </row>
    <row r="2315" spans="1:7" ht="15" customHeight="1">
      <c r="A2315" s="6">
        <v>2311</v>
      </c>
      <c r="B2315" s="11" t="s">
        <v>2196</v>
      </c>
      <c r="C2315" s="11">
        <f xml:space="preserve">     39100</f>
        <v>39100</v>
      </c>
      <c r="D2315" s="13"/>
      <c r="E2315" s="17"/>
      <c r="F2315" s="18"/>
      <c r="G2315" s="19">
        <f t="shared" si="36"/>
        <v>0</v>
      </c>
    </row>
    <row r="2316" spans="1:7" ht="15" customHeight="1">
      <c r="A2316" s="6">
        <v>2312</v>
      </c>
      <c r="B2316" s="11" t="s">
        <v>2197</v>
      </c>
      <c r="C2316" s="11">
        <f xml:space="preserve">     56300</f>
        <v>56300</v>
      </c>
      <c r="D2316" s="13"/>
      <c r="E2316" s="17"/>
      <c r="F2316" s="18"/>
      <c r="G2316" s="8">
        <f t="shared" si="36"/>
        <v>0</v>
      </c>
    </row>
    <row r="2317" spans="1:7" ht="15" customHeight="1">
      <c r="A2317" s="6">
        <v>2313</v>
      </c>
      <c r="B2317" s="11" t="s">
        <v>2198</v>
      </c>
      <c r="C2317" s="11">
        <f xml:space="preserve">     21750</f>
        <v>21750</v>
      </c>
      <c r="D2317" s="13"/>
      <c r="E2317" s="17"/>
      <c r="F2317" s="18"/>
      <c r="G2317" s="8">
        <f t="shared" si="36"/>
        <v>0</v>
      </c>
    </row>
    <row r="2318" spans="1:7" ht="15" customHeight="1">
      <c r="A2318" s="6">
        <v>2314</v>
      </c>
      <c r="B2318" s="11" t="s">
        <v>2199</v>
      </c>
      <c r="C2318" s="11">
        <f xml:space="preserve">     38200</f>
        <v>38200</v>
      </c>
      <c r="D2318" s="13"/>
      <c r="E2318" s="17"/>
      <c r="F2318" s="18"/>
      <c r="G2318" s="19">
        <f t="shared" si="36"/>
        <v>0</v>
      </c>
    </row>
    <row r="2319" spans="1:7" ht="15" customHeight="1">
      <c r="A2319" s="6">
        <v>2315</v>
      </c>
      <c r="B2319" s="11" t="s">
        <v>2200</v>
      </c>
      <c r="C2319" s="11">
        <f xml:space="preserve">     66600</f>
        <v>66600</v>
      </c>
      <c r="D2319" s="13"/>
      <c r="E2319" s="17"/>
      <c r="F2319" s="18"/>
      <c r="G2319" s="19">
        <f t="shared" si="36"/>
        <v>0</v>
      </c>
    </row>
    <row r="2320" spans="1:7" ht="15" customHeight="1">
      <c r="A2320" s="6">
        <v>2316</v>
      </c>
      <c r="B2320" s="11" t="s">
        <v>2201</v>
      </c>
      <c r="C2320" s="11">
        <f xml:space="preserve">     27100</f>
        <v>27100</v>
      </c>
      <c r="D2320" s="13"/>
      <c r="E2320" s="17"/>
      <c r="F2320" s="18"/>
      <c r="G2320" s="8">
        <f t="shared" si="36"/>
        <v>0</v>
      </c>
    </row>
    <row r="2321" spans="1:7" ht="15" customHeight="1">
      <c r="A2321" s="6">
        <v>2317</v>
      </c>
      <c r="B2321" s="11" t="s">
        <v>2202</v>
      </c>
      <c r="C2321" s="11">
        <f xml:space="preserve">     15500</f>
        <v>15500</v>
      </c>
      <c r="D2321" s="13"/>
      <c r="E2321" s="17"/>
      <c r="F2321" s="18"/>
      <c r="G2321" s="8">
        <f t="shared" si="36"/>
        <v>0</v>
      </c>
    </row>
    <row r="2322" spans="1:7" ht="15" customHeight="1">
      <c r="A2322" s="6">
        <v>2318</v>
      </c>
      <c r="B2322" s="11" t="s">
        <v>2203</v>
      </c>
      <c r="C2322" s="11">
        <f xml:space="preserve">      1855</f>
        <v>1855</v>
      </c>
      <c r="D2322" s="13"/>
      <c r="E2322" s="17"/>
      <c r="F2322" s="18"/>
      <c r="G2322" s="8">
        <f t="shared" si="36"/>
        <v>0</v>
      </c>
    </row>
    <row r="2323" spans="1:7" ht="15" customHeight="1">
      <c r="A2323" s="6">
        <v>2319</v>
      </c>
      <c r="B2323" s="11" t="s">
        <v>2204</v>
      </c>
      <c r="C2323" s="11">
        <f xml:space="preserve">     46200</f>
        <v>46200</v>
      </c>
      <c r="D2323" s="13"/>
      <c r="E2323" s="17"/>
      <c r="F2323" s="18"/>
      <c r="G2323" s="8">
        <f t="shared" si="36"/>
        <v>0</v>
      </c>
    </row>
    <row r="2324" spans="1:7" ht="15" customHeight="1">
      <c r="A2324" s="6">
        <v>2320</v>
      </c>
      <c r="B2324" s="11" t="s">
        <v>2205</v>
      </c>
      <c r="C2324" s="11">
        <f xml:space="preserve">      1305</f>
        <v>1305</v>
      </c>
      <c r="D2324" s="13"/>
      <c r="E2324" s="17"/>
      <c r="F2324" s="18"/>
      <c r="G2324" s="19">
        <f t="shared" si="36"/>
        <v>0</v>
      </c>
    </row>
    <row r="2325" spans="1:7" ht="15" customHeight="1">
      <c r="A2325" s="6">
        <v>2321</v>
      </c>
      <c r="B2325" s="11" t="s">
        <v>2206</v>
      </c>
      <c r="C2325" s="11">
        <f xml:space="preserve">      1225</f>
        <v>1225</v>
      </c>
      <c r="D2325" s="13"/>
      <c r="E2325" s="17"/>
      <c r="F2325" s="18"/>
      <c r="G2325" s="19">
        <f t="shared" si="36"/>
        <v>0</v>
      </c>
    </row>
    <row r="2326" spans="1:7" ht="15" customHeight="1">
      <c r="A2326" s="6">
        <v>2322</v>
      </c>
      <c r="B2326" s="11" t="s">
        <v>2207</v>
      </c>
      <c r="C2326" s="11">
        <f xml:space="preserve">     87100</f>
        <v>87100</v>
      </c>
      <c r="D2326" s="13"/>
      <c r="E2326" s="17"/>
      <c r="F2326" s="18"/>
      <c r="G2326" s="8">
        <f t="shared" si="36"/>
        <v>0</v>
      </c>
    </row>
    <row r="2327" spans="1:7" ht="15" customHeight="1">
      <c r="A2327" s="6">
        <v>2323</v>
      </c>
      <c r="B2327" s="11" t="s">
        <v>2208</v>
      </c>
      <c r="C2327" s="11">
        <f xml:space="preserve">     40200</f>
        <v>40200</v>
      </c>
      <c r="D2327" s="13"/>
      <c r="E2327" s="17"/>
      <c r="F2327" s="18"/>
      <c r="G2327" s="8">
        <f t="shared" si="36"/>
        <v>0</v>
      </c>
    </row>
    <row r="2328" spans="1:7" ht="15" customHeight="1">
      <c r="A2328" s="6">
        <v>2324</v>
      </c>
      <c r="B2328" s="11" t="s">
        <v>2209</v>
      </c>
      <c r="C2328" s="11">
        <f xml:space="preserve">      1400</f>
        <v>1400</v>
      </c>
      <c r="D2328" s="13"/>
      <c r="E2328" s="17"/>
      <c r="F2328" s="18"/>
      <c r="G2328" s="8">
        <f t="shared" si="36"/>
        <v>0</v>
      </c>
    </row>
    <row r="2329" spans="1:7" ht="15" customHeight="1">
      <c r="A2329" s="6">
        <v>2325</v>
      </c>
      <c r="B2329" s="11" t="s">
        <v>2210</v>
      </c>
      <c r="C2329" s="11">
        <f xml:space="preserve">       880</f>
        <v>880</v>
      </c>
      <c r="D2329" s="13"/>
      <c r="E2329" s="17"/>
      <c r="F2329" s="18"/>
      <c r="G2329" s="8">
        <f t="shared" si="36"/>
        <v>0</v>
      </c>
    </row>
    <row r="2330" spans="1:7" ht="15" customHeight="1">
      <c r="A2330" s="6">
        <v>2326</v>
      </c>
      <c r="B2330" s="11" t="s">
        <v>2486</v>
      </c>
      <c r="C2330" s="11">
        <f xml:space="preserve">      1560</f>
        <v>1560</v>
      </c>
      <c r="D2330" s="13"/>
      <c r="E2330" s="17"/>
      <c r="F2330" s="18"/>
      <c r="G2330" s="19">
        <f t="shared" si="36"/>
        <v>0</v>
      </c>
    </row>
    <row r="2331" spans="1:7" ht="15" customHeight="1">
      <c r="A2331" s="6">
        <v>2327</v>
      </c>
      <c r="B2331" s="11" t="s">
        <v>2211</v>
      </c>
      <c r="C2331" s="11">
        <f xml:space="preserve">     19800</f>
        <v>19800</v>
      </c>
      <c r="D2331" s="13"/>
      <c r="E2331" s="17"/>
      <c r="F2331" s="18"/>
      <c r="G2331" s="19">
        <f t="shared" si="36"/>
        <v>0</v>
      </c>
    </row>
    <row r="2332" spans="1:7" ht="15" customHeight="1">
      <c r="A2332" s="6">
        <v>2328</v>
      </c>
      <c r="B2332" s="11" t="s">
        <v>2212</v>
      </c>
      <c r="C2332" s="11">
        <f xml:space="preserve">     24100</f>
        <v>24100</v>
      </c>
      <c r="D2332" s="13"/>
      <c r="E2332" s="17"/>
      <c r="F2332" s="18"/>
      <c r="G2332" s="8">
        <f t="shared" si="36"/>
        <v>0</v>
      </c>
    </row>
    <row r="2333" spans="1:7" ht="15" customHeight="1">
      <c r="A2333" s="6">
        <v>2329</v>
      </c>
      <c r="B2333" s="11" t="s">
        <v>2213</v>
      </c>
      <c r="C2333" s="11">
        <f xml:space="preserve">     28950</f>
        <v>28950</v>
      </c>
      <c r="D2333" s="13"/>
      <c r="E2333" s="17"/>
      <c r="F2333" s="18"/>
      <c r="G2333" s="8">
        <f t="shared" si="36"/>
        <v>0</v>
      </c>
    </row>
    <row r="2334" spans="1:7" ht="15" customHeight="1">
      <c r="A2334" s="6">
        <v>2330</v>
      </c>
      <c r="B2334" s="11" t="s">
        <v>2214</v>
      </c>
      <c r="C2334" s="11">
        <f xml:space="preserve">     28900</f>
        <v>28900</v>
      </c>
      <c r="D2334" s="13"/>
      <c r="E2334" s="17"/>
      <c r="F2334" s="18"/>
      <c r="G2334" s="8">
        <f t="shared" si="36"/>
        <v>0</v>
      </c>
    </row>
    <row r="2335" spans="1:7" ht="15" customHeight="1">
      <c r="A2335" s="6">
        <v>2331</v>
      </c>
      <c r="B2335" s="11" t="s">
        <v>2215</v>
      </c>
      <c r="C2335" s="11">
        <f xml:space="preserve">     16750</f>
        <v>16750</v>
      </c>
      <c r="D2335" s="13"/>
      <c r="E2335" s="17"/>
      <c r="F2335" s="18"/>
      <c r="G2335" s="8">
        <f t="shared" si="36"/>
        <v>0</v>
      </c>
    </row>
    <row r="2336" spans="1:7" ht="15" customHeight="1">
      <c r="A2336" s="6">
        <v>2332</v>
      </c>
      <c r="B2336" s="11" t="s">
        <v>2216</v>
      </c>
      <c r="C2336" s="11">
        <f xml:space="preserve">     35600</f>
        <v>35600</v>
      </c>
      <c r="D2336" s="13"/>
      <c r="E2336" s="17"/>
      <c r="F2336" s="18"/>
      <c r="G2336" s="19">
        <f t="shared" si="36"/>
        <v>0</v>
      </c>
    </row>
    <row r="2337" spans="1:7" ht="15" customHeight="1">
      <c r="A2337" s="6">
        <v>2333</v>
      </c>
      <c r="B2337" s="11" t="s">
        <v>2217</v>
      </c>
      <c r="C2337" s="11">
        <f xml:space="preserve">     16300</f>
        <v>16300</v>
      </c>
      <c r="D2337" s="13"/>
      <c r="E2337" s="17"/>
      <c r="F2337" s="18"/>
      <c r="G2337" s="19">
        <f t="shared" si="36"/>
        <v>0</v>
      </c>
    </row>
    <row r="2338" spans="1:7" ht="15" customHeight="1">
      <c r="A2338" s="6">
        <v>2334</v>
      </c>
      <c r="B2338" s="11" t="s">
        <v>2218</v>
      </c>
      <c r="C2338" s="11">
        <f xml:space="preserve">     57800</f>
        <v>57800</v>
      </c>
      <c r="D2338" s="13"/>
      <c r="E2338" s="17"/>
      <c r="F2338" s="18"/>
      <c r="G2338" s="8">
        <f t="shared" si="36"/>
        <v>0</v>
      </c>
    </row>
    <row r="2339" spans="1:7" ht="15" customHeight="1">
      <c r="A2339" s="6">
        <v>2335</v>
      </c>
      <c r="B2339" s="11" t="s">
        <v>2219</v>
      </c>
      <c r="C2339" s="11">
        <f xml:space="preserve">     47400</f>
        <v>47400</v>
      </c>
      <c r="D2339" s="13"/>
      <c r="E2339" s="17"/>
      <c r="F2339" s="18"/>
      <c r="G2339" s="8">
        <f t="shared" si="36"/>
        <v>0</v>
      </c>
    </row>
    <row r="2340" spans="1:7" ht="15" customHeight="1">
      <c r="A2340" s="6">
        <v>2336</v>
      </c>
      <c r="B2340" s="11" t="s">
        <v>2220</v>
      </c>
      <c r="C2340" s="11">
        <f xml:space="preserve">     26150</f>
        <v>26150</v>
      </c>
      <c r="D2340" s="13"/>
      <c r="E2340" s="17"/>
      <c r="F2340" s="18"/>
      <c r="G2340" s="8">
        <f t="shared" si="36"/>
        <v>0</v>
      </c>
    </row>
    <row r="2341" spans="1:7" ht="15" customHeight="1">
      <c r="A2341" s="6">
        <v>2337</v>
      </c>
      <c r="B2341" s="11" t="s">
        <v>2221</v>
      </c>
      <c r="C2341" s="11">
        <f xml:space="preserve">     31600</f>
        <v>31600</v>
      </c>
      <c r="D2341" s="13"/>
      <c r="E2341" s="18"/>
      <c r="F2341" s="18"/>
      <c r="G2341" s="8">
        <f t="shared" si="36"/>
        <v>0</v>
      </c>
    </row>
    <row r="2342" spans="1:7" ht="15" customHeight="1">
      <c r="A2342" s="6">
        <v>2338</v>
      </c>
      <c r="B2342" s="11" t="s">
        <v>2222</v>
      </c>
      <c r="C2342" s="11">
        <f xml:space="preserve">     15600</f>
        <v>15600</v>
      </c>
      <c r="D2342" s="13"/>
      <c r="E2342" s="18"/>
      <c r="F2342" s="18"/>
      <c r="G2342" s="8">
        <f t="shared" si="36"/>
        <v>0</v>
      </c>
    </row>
    <row r="2343" spans="1:7" ht="15" customHeight="1">
      <c r="A2343" s="6">
        <v>2339</v>
      </c>
      <c r="B2343" s="11" t="s">
        <v>2222</v>
      </c>
      <c r="C2343" s="11">
        <f xml:space="preserve">     15600</f>
        <v>15600</v>
      </c>
      <c r="D2343" s="13"/>
      <c r="E2343" s="18"/>
      <c r="F2343" s="18"/>
      <c r="G2343" s="8">
        <f t="shared" si="36"/>
        <v>0</v>
      </c>
    </row>
    <row r="2344" spans="1:7" ht="15" customHeight="1">
      <c r="A2344" s="6">
        <v>2340</v>
      </c>
      <c r="B2344" s="11" t="s">
        <v>2223</v>
      </c>
      <c r="C2344" s="11">
        <f xml:space="preserve">     38400</f>
        <v>38400</v>
      </c>
      <c r="D2344" s="13"/>
      <c r="E2344" s="18"/>
      <c r="F2344" s="18"/>
      <c r="G2344" s="8">
        <f t="shared" si="36"/>
        <v>0</v>
      </c>
    </row>
    <row r="2345" spans="1:7" ht="15" customHeight="1">
      <c r="A2345" s="6">
        <v>2341</v>
      </c>
      <c r="B2345" s="11" t="s">
        <v>2224</v>
      </c>
      <c r="C2345" s="11">
        <f xml:space="preserve">     72300</f>
        <v>72300</v>
      </c>
      <c r="D2345" s="13"/>
      <c r="E2345" s="18"/>
      <c r="F2345" s="18"/>
      <c r="G2345" s="8">
        <f t="shared" si="36"/>
        <v>0</v>
      </c>
    </row>
    <row r="2346" spans="1:7" ht="15" customHeight="1">
      <c r="A2346" s="6">
        <v>2342</v>
      </c>
      <c r="B2346" s="11" t="s">
        <v>2225</v>
      </c>
      <c r="C2346" s="11">
        <f xml:space="preserve">     12000</f>
        <v>12000</v>
      </c>
      <c r="D2346" s="13"/>
      <c r="E2346" s="18"/>
      <c r="F2346" s="18"/>
      <c r="G2346" s="8">
        <f t="shared" si="36"/>
        <v>0</v>
      </c>
    </row>
    <row r="2347" spans="1:7" ht="15" customHeight="1">
      <c r="A2347" s="6">
        <v>2343</v>
      </c>
      <c r="B2347" s="11" t="s">
        <v>2226</v>
      </c>
      <c r="C2347" s="11">
        <f xml:space="preserve">     10300</f>
        <v>10300</v>
      </c>
      <c r="D2347" s="13"/>
      <c r="E2347" s="18"/>
      <c r="F2347" s="18"/>
      <c r="G2347" s="8">
        <f t="shared" si="36"/>
        <v>0</v>
      </c>
    </row>
    <row r="2348" spans="1:7" ht="15" customHeight="1">
      <c r="A2348" s="6">
        <v>2344</v>
      </c>
      <c r="B2348" s="11" t="s">
        <v>2227</v>
      </c>
      <c r="C2348" s="11">
        <f xml:space="preserve">      3850</f>
        <v>3850</v>
      </c>
      <c r="D2348" s="13"/>
      <c r="E2348" s="18"/>
      <c r="F2348" s="18"/>
      <c r="G2348" s="8">
        <f t="shared" si="36"/>
        <v>0</v>
      </c>
    </row>
    <row r="2349" spans="1:7" ht="15" customHeight="1">
      <c r="A2349" s="6">
        <v>2345</v>
      </c>
      <c r="B2349" s="11" t="s">
        <v>2228</v>
      </c>
      <c r="C2349" s="11">
        <f xml:space="preserve">     41250</f>
        <v>41250</v>
      </c>
      <c r="D2349" s="13"/>
      <c r="E2349" s="18"/>
      <c r="F2349" s="18"/>
      <c r="G2349" s="8">
        <f t="shared" si="36"/>
        <v>0</v>
      </c>
    </row>
    <row r="2350" spans="1:7" ht="15" customHeight="1">
      <c r="A2350" s="6">
        <v>2346</v>
      </c>
      <c r="B2350" s="11" t="s">
        <v>2229</v>
      </c>
      <c r="C2350" s="11">
        <f xml:space="preserve">     99650</f>
        <v>99650</v>
      </c>
      <c r="D2350" s="13"/>
      <c r="E2350" s="18"/>
      <c r="F2350" s="18"/>
      <c r="G2350" s="8">
        <f t="shared" si="36"/>
        <v>0</v>
      </c>
    </row>
    <row r="2351" spans="1:7" ht="15" customHeight="1">
      <c r="A2351" s="6">
        <v>2347</v>
      </c>
      <c r="B2351" s="11" t="s">
        <v>2230</v>
      </c>
      <c r="C2351" s="11">
        <f xml:space="preserve">     87100</f>
        <v>87100</v>
      </c>
      <c r="D2351" s="13"/>
      <c r="E2351" s="18"/>
      <c r="F2351" s="18"/>
      <c r="G2351" s="8">
        <f t="shared" si="36"/>
        <v>0</v>
      </c>
    </row>
    <row r="2352" spans="1:7" ht="15" customHeight="1">
      <c r="A2352" s="6">
        <v>2348</v>
      </c>
      <c r="B2352" s="11" t="s">
        <v>2231</v>
      </c>
      <c r="C2352" s="11">
        <f xml:space="preserve">     10800</f>
        <v>10800</v>
      </c>
      <c r="D2352" s="13"/>
      <c r="E2352" s="18"/>
      <c r="F2352" s="18"/>
      <c r="G2352" s="8">
        <f t="shared" si="36"/>
        <v>0</v>
      </c>
    </row>
    <row r="2353" spans="1:7" ht="15" customHeight="1">
      <c r="A2353" s="6">
        <v>2349</v>
      </c>
      <c r="B2353" s="11" t="s">
        <v>2232</v>
      </c>
      <c r="C2353" s="11">
        <f xml:space="preserve">     81200</f>
        <v>81200</v>
      </c>
      <c r="D2353" s="13"/>
      <c r="E2353" s="18"/>
      <c r="F2353" s="18"/>
      <c r="G2353" s="8">
        <f t="shared" si="36"/>
        <v>0</v>
      </c>
    </row>
    <row r="2354" spans="1:7" ht="15" customHeight="1">
      <c r="A2354" s="6">
        <v>2350</v>
      </c>
      <c r="B2354" s="11" t="s">
        <v>2233</v>
      </c>
      <c r="C2354" s="11">
        <f xml:space="preserve">      7400</f>
        <v>7400</v>
      </c>
      <c r="D2354" s="13"/>
      <c r="E2354" s="18"/>
      <c r="F2354" s="18"/>
      <c r="G2354" s="8">
        <f t="shared" si="36"/>
        <v>0</v>
      </c>
    </row>
    <row r="2355" spans="1:7" ht="15" customHeight="1">
      <c r="A2355" s="6">
        <v>2351</v>
      </c>
      <c r="B2355" s="11" t="s">
        <v>2234</v>
      </c>
      <c r="C2355" s="11">
        <f xml:space="preserve">     58860</f>
        <v>58860</v>
      </c>
      <c r="D2355" s="13"/>
      <c r="E2355" s="18"/>
      <c r="F2355" s="18"/>
      <c r="G2355" s="8">
        <f t="shared" si="36"/>
        <v>0</v>
      </c>
    </row>
    <row r="2356" spans="1:7" ht="15" customHeight="1">
      <c r="A2356" s="6">
        <v>2352</v>
      </c>
      <c r="B2356" s="11" t="s">
        <v>2235</v>
      </c>
      <c r="C2356" s="11">
        <f xml:space="preserve">    125700</f>
        <v>125700</v>
      </c>
      <c r="D2356" s="13"/>
      <c r="E2356" s="18"/>
      <c r="F2356" s="18"/>
      <c r="G2356" s="8">
        <f t="shared" si="36"/>
        <v>0</v>
      </c>
    </row>
    <row r="2357" spans="1:7" ht="15" customHeight="1">
      <c r="A2357" s="6">
        <v>2353</v>
      </c>
      <c r="B2357" s="11" t="s">
        <v>2236</v>
      </c>
      <c r="C2357" s="11">
        <f xml:space="preserve">    121000</f>
        <v>121000</v>
      </c>
      <c r="D2357" s="13"/>
      <c r="E2357" s="18"/>
      <c r="F2357" s="18"/>
      <c r="G2357" s="8">
        <f t="shared" si="36"/>
        <v>0</v>
      </c>
    </row>
    <row r="2358" spans="1:7" ht="15" customHeight="1">
      <c r="A2358" s="6">
        <v>2354</v>
      </c>
      <c r="B2358" s="11" t="s">
        <v>2237</v>
      </c>
      <c r="C2358" s="11">
        <f xml:space="preserve">    119450</f>
        <v>119450</v>
      </c>
      <c r="D2358" s="13"/>
      <c r="E2358" s="18"/>
      <c r="F2358" s="18"/>
      <c r="G2358" s="8">
        <f t="shared" si="36"/>
        <v>0</v>
      </c>
    </row>
    <row r="2359" spans="1:7" ht="15" customHeight="1">
      <c r="A2359" s="6">
        <v>2355</v>
      </c>
      <c r="B2359" s="11" t="s">
        <v>2238</v>
      </c>
      <c r="C2359" s="11">
        <f xml:space="preserve">     26150</f>
        <v>26150</v>
      </c>
      <c r="D2359" s="13"/>
      <c r="E2359" s="18"/>
      <c r="F2359" s="18"/>
      <c r="G2359" s="8">
        <f t="shared" si="36"/>
        <v>0</v>
      </c>
    </row>
    <row r="2360" spans="1:7" ht="15" customHeight="1">
      <c r="A2360" s="6">
        <v>2356</v>
      </c>
      <c r="B2360" s="11" t="s">
        <v>2238</v>
      </c>
      <c r="C2360" s="11">
        <f xml:space="preserve">     25150</f>
        <v>25150</v>
      </c>
      <c r="D2360" s="13"/>
      <c r="E2360" s="18"/>
      <c r="F2360" s="18"/>
      <c r="G2360" s="8">
        <f t="shared" si="36"/>
        <v>0</v>
      </c>
    </row>
    <row r="2361" spans="1:7" ht="15" customHeight="1">
      <c r="A2361" s="6">
        <v>2357</v>
      </c>
      <c r="B2361" s="11" t="s">
        <v>2239</v>
      </c>
      <c r="C2361" s="11">
        <f xml:space="preserve">      4350</f>
        <v>4350</v>
      </c>
      <c r="D2361" s="13"/>
      <c r="E2361" s="18"/>
      <c r="F2361" s="18"/>
      <c r="G2361" s="8">
        <f t="shared" si="36"/>
        <v>0</v>
      </c>
    </row>
    <row r="2362" spans="1:7" ht="15" customHeight="1">
      <c r="A2362" s="6">
        <v>2358</v>
      </c>
      <c r="B2362" s="11" t="s">
        <v>2240</v>
      </c>
      <c r="C2362" s="11">
        <f xml:space="preserve">      5150</f>
        <v>5150</v>
      </c>
      <c r="D2362" s="13"/>
      <c r="E2362" s="18"/>
      <c r="F2362" s="18"/>
      <c r="G2362" s="8">
        <f t="shared" si="36"/>
        <v>0</v>
      </c>
    </row>
    <row r="2363" spans="1:7" ht="15" customHeight="1">
      <c r="A2363" s="6">
        <v>2359</v>
      </c>
      <c r="B2363" s="11" t="s">
        <v>2241</v>
      </c>
      <c r="C2363" s="11">
        <f xml:space="preserve">     42800</f>
        <v>42800</v>
      </c>
      <c r="D2363" s="13"/>
      <c r="E2363" s="18"/>
      <c r="F2363" s="18"/>
      <c r="G2363" s="8">
        <f t="shared" si="36"/>
        <v>0</v>
      </c>
    </row>
    <row r="2364" spans="1:7" ht="15" customHeight="1">
      <c r="A2364" s="6">
        <v>2360</v>
      </c>
      <c r="B2364" s="11" t="s">
        <v>2242</v>
      </c>
      <c r="C2364" s="11">
        <f xml:space="preserve">     46800</f>
        <v>46800</v>
      </c>
      <c r="D2364" s="13"/>
      <c r="E2364" s="18"/>
      <c r="F2364" s="18"/>
      <c r="G2364" s="8">
        <f t="shared" si="36"/>
        <v>0</v>
      </c>
    </row>
    <row r="2365" spans="1:7" ht="15" customHeight="1">
      <c r="A2365" s="6">
        <v>2361</v>
      </c>
      <c r="B2365" s="11" t="s">
        <v>2243</v>
      </c>
      <c r="C2365" s="11">
        <f xml:space="preserve">    243100</f>
        <v>243100</v>
      </c>
      <c r="D2365" s="13"/>
      <c r="E2365" s="18"/>
      <c r="F2365" s="18"/>
      <c r="G2365" s="8">
        <f t="shared" ref="G2365:G2428" si="37">C2365*D2365+E2365*F2365</f>
        <v>0</v>
      </c>
    </row>
    <row r="2366" spans="1:7" ht="15" customHeight="1">
      <c r="A2366" s="6">
        <v>2362</v>
      </c>
      <c r="B2366" s="11" t="s">
        <v>2244</v>
      </c>
      <c r="C2366" s="11">
        <f xml:space="preserve">    167650</f>
        <v>167650</v>
      </c>
      <c r="D2366" s="13"/>
      <c r="E2366" s="18"/>
      <c r="F2366" s="18"/>
      <c r="G2366" s="8">
        <f t="shared" si="37"/>
        <v>0</v>
      </c>
    </row>
    <row r="2367" spans="1:7" ht="15" customHeight="1">
      <c r="A2367" s="6">
        <v>2363</v>
      </c>
      <c r="B2367" s="11" t="s">
        <v>2245</v>
      </c>
      <c r="C2367" s="11">
        <f xml:space="preserve">    432600</f>
        <v>432600</v>
      </c>
      <c r="D2367" s="13"/>
      <c r="E2367" s="18"/>
      <c r="F2367" s="18"/>
      <c r="G2367" s="8">
        <f t="shared" si="37"/>
        <v>0</v>
      </c>
    </row>
    <row r="2368" spans="1:7" ht="15" customHeight="1">
      <c r="A2368" s="6">
        <v>2364</v>
      </c>
      <c r="B2368" s="11" t="s">
        <v>2246</v>
      </c>
      <c r="C2368" s="11">
        <f xml:space="preserve">    178700</f>
        <v>178700</v>
      </c>
      <c r="D2368" s="13"/>
      <c r="E2368" s="18"/>
      <c r="F2368" s="18"/>
      <c r="G2368" s="8">
        <f t="shared" si="37"/>
        <v>0</v>
      </c>
    </row>
    <row r="2369" spans="1:7" ht="15" customHeight="1">
      <c r="A2369" s="6">
        <v>2365</v>
      </c>
      <c r="B2369" s="11" t="s">
        <v>2247</v>
      </c>
      <c r="C2369" s="11">
        <f xml:space="preserve">    130800</f>
        <v>130800</v>
      </c>
      <c r="D2369" s="13"/>
      <c r="E2369" s="18"/>
      <c r="F2369" s="18"/>
      <c r="G2369" s="8">
        <f t="shared" si="37"/>
        <v>0</v>
      </c>
    </row>
    <row r="2370" spans="1:7" ht="15" customHeight="1">
      <c r="A2370" s="6">
        <v>2366</v>
      </c>
      <c r="B2370" s="11" t="s">
        <v>2248</v>
      </c>
      <c r="C2370" s="11">
        <f xml:space="preserve">      3625</f>
        <v>3625</v>
      </c>
      <c r="D2370" s="13"/>
      <c r="E2370" s="18"/>
      <c r="F2370" s="18"/>
      <c r="G2370" s="8">
        <f t="shared" si="37"/>
        <v>0</v>
      </c>
    </row>
    <row r="2371" spans="1:7" ht="15" customHeight="1">
      <c r="A2371" s="6">
        <v>2367</v>
      </c>
      <c r="B2371" s="11" t="s">
        <v>2249</v>
      </c>
      <c r="C2371" s="11">
        <f xml:space="preserve">     25900</f>
        <v>25900</v>
      </c>
      <c r="D2371" s="13"/>
      <c r="E2371" s="18"/>
      <c r="F2371" s="18"/>
      <c r="G2371" s="8">
        <f t="shared" si="37"/>
        <v>0</v>
      </c>
    </row>
    <row r="2372" spans="1:7" ht="15" customHeight="1">
      <c r="A2372" s="6">
        <v>2368</v>
      </c>
      <c r="B2372" s="11" t="s">
        <v>2250</v>
      </c>
      <c r="C2372" s="11">
        <f xml:space="preserve">     53900</f>
        <v>53900</v>
      </c>
      <c r="D2372" s="13"/>
      <c r="E2372" s="18"/>
      <c r="F2372" s="18"/>
      <c r="G2372" s="8">
        <f t="shared" si="37"/>
        <v>0</v>
      </c>
    </row>
    <row r="2373" spans="1:7" ht="15" customHeight="1">
      <c r="A2373" s="6">
        <v>2369</v>
      </c>
      <c r="B2373" s="11" t="s">
        <v>2251</v>
      </c>
      <c r="C2373" s="11">
        <f xml:space="preserve">      7650</f>
        <v>7650</v>
      </c>
      <c r="D2373" s="13"/>
      <c r="E2373" s="18"/>
      <c r="F2373" s="18"/>
      <c r="G2373" s="8">
        <f t="shared" si="37"/>
        <v>0</v>
      </c>
    </row>
    <row r="2374" spans="1:7" ht="15" customHeight="1">
      <c r="A2374" s="6">
        <v>2370</v>
      </c>
      <c r="B2374" s="11" t="s">
        <v>2252</v>
      </c>
      <c r="C2374" s="11">
        <f xml:space="preserve">      3225</f>
        <v>3225</v>
      </c>
      <c r="D2374" s="13"/>
      <c r="E2374" s="18"/>
      <c r="F2374" s="18"/>
      <c r="G2374" s="8">
        <f t="shared" si="37"/>
        <v>0</v>
      </c>
    </row>
    <row r="2375" spans="1:7" ht="15" customHeight="1">
      <c r="A2375" s="6">
        <v>2371</v>
      </c>
      <c r="B2375" s="11" t="s">
        <v>2253</v>
      </c>
      <c r="C2375" s="11">
        <f xml:space="preserve">      3400</f>
        <v>3400</v>
      </c>
      <c r="D2375" s="13"/>
      <c r="E2375" s="18"/>
      <c r="F2375" s="18"/>
      <c r="G2375" s="8">
        <f t="shared" si="37"/>
        <v>0</v>
      </c>
    </row>
    <row r="2376" spans="1:7" ht="15" customHeight="1">
      <c r="A2376" s="6">
        <v>2372</v>
      </c>
      <c r="B2376" s="11" t="s">
        <v>2253</v>
      </c>
      <c r="C2376" s="11">
        <f xml:space="preserve">      3400</f>
        <v>3400</v>
      </c>
      <c r="D2376" s="13"/>
      <c r="E2376" s="18"/>
      <c r="F2376" s="18"/>
      <c r="G2376" s="8">
        <f t="shared" si="37"/>
        <v>0</v>
      </c>
    </row>
    <row r="2377" spans="1:7" ht="15" customHeight="1">
      <c r="A2377" s="6">
        <v>2373</v>
      </c>
      <c r="B2377" s="11" t="s">
        <v>2254</v>
      </c>
      <c r="C2377" s="11">
        <f xml:space="preserve">      4500</f>
        <v>4500</v>
      </c>
      <c r="D2377" s="13"/>
      <c r="E2377" s="18"/>
      <c r="F2377" s="18"/>
      <c r="G2377" s="8">
        <f t="shared" si="37"/>
        <v>0</v>
      </c>
    </row>
    <row r="2378" spans="1:7" ht="15" customHeight="1">
      <c r="A2378" s="6">
        <v>2374</v>
      </c>
      <c r="B2378" s="11" t="s">
        <v>2255</v>
      </c>
      <c r="C2378" s="11">
        <f xml:space="preserve">     97100</f>
        <v>97100</v>
      </c>
      <c r="D2378" s="13"/>
      <c r="E2378" s="18"/>
      <c r="F2378" s="18"/>
      <c r="G2378" s="8">
        <f t="shared" si="37"/>
        <v>0</v>
      </c>
    </row>
    <row r="2379" spans="1:7" ht="15" customHeight="1">
      <c r="A2379" s="6">
        <v>2375</v>
      </c>
      <c r="B2379" s="11" t="s">
        <v>2256</v>
      </c>
      <c r="C2379" s="11">
        <f xml:space="preserve">     48700</f>
        <v>48700</v>
      </c>
      <c r="D2379" s="13"/>
      <c r="E2379" s="18"/>
      <c r="F2379" s="18"/>
      <c r="G2379" s="8">
        <f t="shared" si="37"/>
        <v>0</v>
      </c>
    </row>
    <row r="2380" spans="1:7" ht="15" customHeight="1">
      <c r="A2380" s="6">
        <v>2376</v>
      </c>
      <c r="B2380" s="11" t="s">
        <v>2257</v>
      </c>
      <c r="C2380" s="11">
        <f xml:space="preserve">     69200</f>
        <v>69200</v>
      </c>
      <c r="D2380" s="13"/>
      <c r="E2380" s="18"/>
      <c r="F2380" s="18"/>
      <c r="G2380" s="8">
        <f t="shared" si="37"/>
        <v>0</v>
      </c>
    </row>
    <row r="2381" spans="1:7" ht="15" customHeight="1">
      <c r="A2381" s="6">
        <v>2377</v>
      </c>
      <c r="B2381" s="11" t="s">
        <v>2258</v>
      </c>
      <c r="C2381" s="11">
        <f xml:space="preserve">      8600</f>
        <v>8600</v>
      </c>
      <c r="D2381" s="13"/>
      <c r="E2381" s="18"/>
      <c r="F2381" s="18"/>
      <c r="G2381" s="8">
        <f t="shared" si="37"/>
        <v>0</v>
      </c>
    </row>
    <row r="2382" spans="1:7" ht="15" customHeight="1">
      <c r="A2382" s="6">
        <v>2378</v>
      </c>
      <c r="B2382" s="11" t="s">
        <v>2259</v>
      </c>
      <c r="C2382" s="11">
        <f xml:space="preserve">      9700</f>
        <v>9700</v>
      </c>
      <c r="D2382" s="13"/>
      <c r="E2382" s="18"/>
      <c r="F2382" s="18"/>
      <c r="G2382" s="8">
        <f t="shared" si="37"/>
        <v>0</v>
      </c>
    </row>
    <row r="2383" spans="1:7" ht="15" customHeight="1">
      <c r="A2383" s="6">
        <v>2379</v>
      </c>
      <c r="B2383" s="11" t="s">
        <v>2260</v>
      </c>
      <c r="C2383" s="11">
        <f xml:space="preserve">      6400</f>
        <v>6400</v>
      </c>
      <c r="D2383" s="13"/>
      <c r="E2383" s="18"/>
      <c r="F2383" s="18"/>
      <c r="G2383" s="8">
        <f t="shared" si="37"/>
        <v>0</v>
      </c>
    </row>
    <row r="2384" spans="1:7" ht="15" customHeight="1">
      <c r="A2384" s="6">
        <v>2380</v>
      </c>
      <c r="B2384" s="11" t="s">
        <v>2261</v>
      </c>
      <c r="C2384" s="11">
        <f xml:space="preserve">     14950</f>
        <v>14950</v>
      </c>
      <c r="D2384" s="13"/>
      <c r="E2384" s="18"/>
      <c r="F2384" s="18"/>
      <c r="G2384" s="8">
        <f t="shared" si="37"/>
        <v>0</v>
      </c>
    </row>
    <row r="2385" spans="1:7" ht="15" customHeight="1">
      <c r="A2385" s="6">
        <v>2381</v>
      </c>
      <c r="B2385" s="11" t="s">
        <v>2262</v>
      </c>
      <c r="C2385" s="11">
        <f xml:space="preserve">     18600</f>
        <v>18600</v>
      </c>
      <c r="D2385" s="13"/>
      <c r="E2385" s="18"/>
      <c r="F2385" s="18"/>
      <c r="G2385" s="8">
        <f t="shared" si="37"/>
        <v>0</v>
      </c>
    </row>
    <row r="2386" spans="1:7" ht="15" customHeight="1">
      <c r="A2386" s="6">
        <v>2382</v>
      </c>
      <c r="B2386" s="11" t="s">
        <v>2263</v>
      </c>
      <c r="C2386" s="11">
        <f xml:space="preserve">     11400</f>
        <v>11400</v>
      </c>
      <c r="D2386" s="13"/>
      <c r="E2386" s="18"/>
      <c r="F2386" s="18"/>
      <c r="G2386" s="8">
        <f t="shared" si="37"/>
        <v>0</v>
      </c>
    </row>
    <row r="2387" spans="1:7" ht="15" customHeight="1">
      <c r="A2387" s="6">
        <v>2383</v>
      </c>
      <c r="B2387" s="11" t="s">
        <v>2264</v>
      </c>
      <c r="C2387" s="11">
        <f xml:space="preserve">     14400</f>
        <v>14400</v>
      </c>
      <c r="D2387" s="13"/>
      <c r="E2387" s="18"/>
      <c r="F2387" s="18"/>
      <c r="G2387" s="8">
        <f t="shared" si="37"/>
        <v>0</v>
      </c>
    </row>
    <row r="2388" spans="1:7" ht="15" customHeight="1">
      <c r="A2388" s="6">
        <v>2384</v>
      </c>
      <c r="B2388" s="11" t="s">
        <v>2265</v>
      </c>
      <c r="C2388" s="11">
        <f xml:space="preserve">     11750</f>
        <v>11750</v>
      </c>
      <c r="D2388" s="13"/>
      <c r="E2388" s="18"/>
      <c r="F2388" s="18"/>
      <c r="G2388" s="8">
        <f t="shared" si="37"/>
        <v>0</v>
      </c>
    </row>
    <row r="2389" spans="1:7" ht="15" customHeight="1">
      <c r="A2389" s="6">
        <v>2385</v>
      </c>
      <c r="B2389" s="11" t="s">
        <v>2266</v>
      </c>
      <c r="C2389" s="11">
        <f xml:space="preserve">     17000</f>
        <v>17000</v>
      </c>
      <c r="D2389" s="13"/>
      <c r="E2389" s="18"/>
      <c r="F2389" s="18"/>
      <c r="G2389" s="8">
        <f t="shared" si="37"/>
        <v>0</v>
      </c>
    </row>
    <row r="2390" spans="1:7" ht="15" customHeight="1">
      <c r="A2390" s="6">
        <v>2386</v>
      </c>
      <c r="B2390" s="11" t="s">
        <v>2267</v>
      </c>
      <c r="C2390" s="11">
        <f xml:space="preserve">      3560</f>
        <v>3560</v>
      </c>
      <c r="D2390" s="13"/>
      <c r="E2390" s="18"/>
      <c r="F2390" s="18"/>
      <c r="G2390" s="8">
        <f t="shared" si="37"/>
        <v>0</v>
      </c>
    </row>
    <row r="2391" spans="1:7" ht="15" customHeight="1">
      <c r="A2391" s="6">
        <v>2387</v>
      </c>
      <c r="B2391" s="11" t="s">
        <v>2268</v>
      </c>
      <c r="C2391" s="11">
        <f xml:space="preserve">      7400</f>
        <v>7400</v>
      </c>
      <c r="D2391" s="13"/>
      <c r="E2391" s="18"/>
      <c r="F2391" s="18"/>
      <c r="G2391" s="8">
        <f t="shared" si="37"/>
        <v>0</v>
      </c>
    </row>
    <row r="2392" spans="1:7" ht="15" customHeight="1">
      <c r="A2392" s="6">
        <v>2388</v>
      </c>
      <c r="B2392" s="11" t="s">
        <v>2269</v>
      </c>
      <c r="C2392" s="11">
        <f xml:space="preserve">     35200</f>
        <v>35200</v>
      </c>
      <c r="D2392" s="13"/>
      <c r="E2392" s="18"/>
      <c r="F2392" s="18"/>
      <c r="G2392" s="8">
        <f t="shared" si="37"/>
        <v>0</v>
      </c>
    </row>
    <row r="2393" spans="1:7" ht="15" customHeight="1">
      <c r="A2393" s="6">
        <v>2389</v>
      </c>
      <c r="B2393" s="11" t="s">
        <v>2487</v>
      </c>
      <c r="C2393" s="11">
        <f xml:space="preserve">     53800</f>
        <v>53800</v>
      </c>
      <c r="D2393" s="13"/>
      <c r="E2393" s="18"/>
      <c r="F2393" s="18"/>
      <c r="G2393" s="8">
        <f t="shared" si="37"/>
        <v>0</v>
      </c>
    </row>
    <row r="2394" spans="1:7" ht="15" customHeight="1">
      <c r="A2394" s="6">
        <v>2390</v>
      </c>
      <c r="B2394" s="11" t="s">
        <v>2270</v>
      </c>
      <c r="C2394" s="11">
        <f xml:space="preserve">     38500</f>
        <v>38500</v>
      </c>
      <c r="D2394" s="13"/>
      <c r="E2394" s="18"/>
      <c r="F2394" s="18"/>
      <c r="G2394" s="8">
        <f t="shared" si="37"/>
        <v>0</v>
      </c>
    </row>
    <row r="2395" spans="1:7" ht="15" customHeight="1">
      <c r="A2395" s="6">
        <v>2391</v>
      </c>
      <c r="B2395" s="11" t="s">
        <v>2271</v>
      </c>
      <c r="C2395" s="11">
        <f xml:space="preserve">     45500</f>
        <v>45500</v>
      </c>
      <c r="D2395" s="13"/>
      <c r="E2395" s="18"/>
      <c r="F2395" s="18"/>
      <c r="G2395" s="8">
        <f t="shared" si="37"/>
        <v>0</v>
      </c>
    </row>
    <row r="2396" spans="1:7" ht="15" customHeight="1">
      <c r="A2396" s="6">
        <v>2392</v>
      </c>
      <c r="B2396" s="11" t="s">
        <v>2272</v>
      </c>
      <c r="C2396" s="11">
        <f xml:space="preserve">     59700</f>
        <v>59700</v>
      </c>
      <c r="D2396" s="13"/>
      <c r="E2396" s="18"/>
      <c r="F2396" s="18"/>
      <c r="G2396" s="8">
        <f t="shared" si="37"/>
        <v>0</v>
      </c>
    </row>
    <row r="2397" spans="1:7" ht="15" customHeight="1">
      <c r="A2397" s="6">
        <v>2393</v>
      </c>
      <c r="B2397" s="11" t="s">
        <v>2273</v>
      </c>
      <c r="C2397" s="11">
        <f xml:space="preserve">     36000</f>
        <v>36000</v>
      </c>
      <c r="D2397" s="13"/>
      <c r="E2397" s="18"/>
      <c r="F2397" s="18"/>
      <c r="G2397" s="8">
        <f t="shared" si="37"/>
        <v>0</v>
      </c>
    </row>
    <row r="2398" spans="1:7" ht="15" customHeight="1">
      <c r="A2398" s="6">
        <v>2394</v>
      </c>
      <c r="B2398" s="11" t="s">
        <v>2274</v>
      </c>
      <c r="C2398" s="11">
        <f xml:space="preserve">     18100</f>
        <v>18100</v>
      </c>
      <c r="D2398" s="13"/>
      <c r="E2398" s="18"/>
      <c r="F2398" s="18"/>
      <c r="G2398" s="8">
        <f t="shared" si="37"/>
        <v>0</v>
      </c>
    </row>
    <row r="2399" spans="1:7" ht="15" customHeight="1">
      <c r="A2399" s="6">
        <v>2395</v>
      </c>
      <c r="B2399" s="11" t="s">
        <v>2275</v>
      </c>
      <c r="C2399" s="11">
        <f xml:space="preserve">     33200</f>
        <v>33200</v>
      </c>
      <c r="D2399" s="13"/>
      <c r="E2399" s="18"/>
      <c r="F2399" s="18"/>
      <c r="G2399" s="8">
        <f t="shared" si="37"/>
        <v>0</v>
      </c>
    </row>
    <row r="2400" spans="1:7" ht="15" customHeight="1">
      <c r="A2400" s="6">
        <v>2396</v>
      </c>
      <c r="B2400" s="11" t="s">
        <v>2276</v>
      </c>
      <c r="C2400" s="11">
        <f xml:space="preserve">      3050</f>
        <v>3050</v>
      </c>
      <c r="D2400" s="13"/>
      <c r="E2400" s="18"/>
      <c r="F2400" s="18"/>
      <c r="G2400" s="8">
        <f t="shared" si="37"/>
        <v>0</v>
      </c>
    </row>
    <row r="2401" spans="1:7" ht="15" customHeight="1">
      <c r="A2401" s="6">
        <v>2397</v>
      </c>
      <c r="B2401" s="11" t="s">
        <v>2276</v>
      </c>
      <c r="C2401" s="11">
        <f xml:space="preserve">      3050</f>
        <v>3050</v>
      </c>
      <c r="D2401" s="13"/>
      <c r="E2401" s="18"/>
      <c r="F2401" s="18"/>
      <c r="G2401" s="8">
        <f t="shared" si="37"/>
        <v>0</v>
      </c>
    </row>
    <row r="2402" spans="1:7" ht="15" customHeight="1">
      <c r="A2402" s="6">
        <v>2398</v>
      </c>
      <c r="B2402" s="11" t="s">
        <v>2277</v>
      </c>
      <c r="C2402" s="11">
        <f xml:space="preserve">      3300</f>
        <v>3300</v>
      </c>
      <c r="D2402" s="13"/>
      <c r="E2402" s="18"/>
      <c r="F2402" s="18"/>
      <c r="G2402" s="8">
        <f t="shared" si="37"/>
        <v>0</v>
      </c>
    </row>
    <row r="2403" spans="1:7" ht="15" customHeight="1">
      <c r="A2403" s="6">
        <v>2399</v>
      </c>
      <c r="B2403" s="11" t="s">
        <v>2278</v>
      </c>
      <c r="C2403" s="11">
        <f xml:space="preserve">      4591</f>
        <v>4591</v>
      </c>
      <c r="D2403" s="13"/>
      <c r="E2403" s="18"/>
      <c r="F2403" s="18"/>
      <c r="G2403" s="8">
        <f t="shared" si="37"/>
        <v>0</v>
      </c>
    </row>
    <row r="2404" spans="1:7" ht="15" customHeight="1">
      <c r="A2404" s="6">
        <v>2400</v>
      </c>
      <c r="B2404" s="11" t="s">
        <v>2279</v>
      </c>
      <c r="C2404" s="11">
        <f xml:space="preserve">      3150</f>
        <v>3150</v>
      </c>
      <c r="D2404" s="13"/>
      <c r="E2404" s="18"/>
      <c r="F2404" s="18"/>
      <c r="G2404" s="8">
        <f t="shared" si="37"/>
        <v>0</v>
      </c>
    </row>
    <row r="2405" spans="1:7" ht="15" customHeight="1">
      <c r="A2405" s="6">
        <v>2401</v>
      </c>
      <c r="B2405" s="11" t="s">
        <v>2280</v>
      </c>
      <c r="C2405" s="11">
        <f xml:space="preserve">     11500</f>
        <v>11500</v>
      </c>
      <c r="D2405" s="13"/>
      <c r="E2405" s="18"/>
      <c r="F2405" s="18"/>
      <c r="G2405" s="8">
        <f t="shared" si="37"/>
        <v>0</v>
      </c>
    </row>
    <row r="2406" spans="1:7" ht="15" customHeight="1">
      <c r="A2406" s="6">
        <v>2402</v>
      </c>
      <c r="B2406" s="11" t="s">
        <v>2281</v>
      </c>
      <c r="C2406" s="11">
        <f xml:space="preserve">     14350</f>
        <v>14350</v>
      </c>
      <c r="D2406" s="13"/>
      <c r="E2406" s="18"/>
      <c r="F2406" s="18"/>
      <c r="G2406" s="8">
        <f t="shared" si="37"/>
        <v>0</v>
      </c>
    </row>
    <row r="2407" spans="1:7" ht="15" customHeight="1">
      <c r="A2407" s="6">
        <v>2403</v>
      </c>
      <c r="B2407" s="11" t="s">
        <v>2281</v>
      </c>
      <c r="C2407" s="11">
        <f xml:space="preserve">     14350</f>
        <v>14350</v>
      </c>
      <c r="D2407" s="13"/>
      <c r="E2407" s="18"/>
      <c r="F2407" s="18"/>
      <c r="G2407" s="8">
        <f t="shared" si="37"/>
        <v>0</v>
      </c>
    </row>
    <row r="2408" spans="1:7" ht="15" customHeight="1">
      <c r="A2408" s="6">
        <v>2404</v>
      </c>
      <c r="B2408" s="11" t="s">
        <v>2282</v>
      </c>
      <c r="C2408" s="11">
        <f xml:space="preserve">     84600</f>
        <v>84600</v>
      </c>
      <c r="D2408" s="13"/>
      <c r="E2408" s="18"/>
      <c r="F2408" s="18"/>
      <c r="G2408" s="8">
        <f t="shared" si="37"/>
        <v>0</v>
      </c>
    </row>
    <row r="2409" spans="1:7" ht="15" customHeight="1">
      <c r="A2409" s="6">
        <v>2405</v>
      </c>
      <c r="B2409" s="11" t="s">
        <v>2283</v>
      </c>
      <c r="C2409" s="11">
        <f xml:space="preserve">     23200</f>
        <v>23200</v>
      </c>
      <c r="D2409" s="13"/>
      <c r="E2409" s="18"/>
      <c r="F2409" s="18"/>
      <c r="G2409" s="8">
        <f t="shared" si="37"/>
        <v>0</v>
      </c>
    </row>
    <row r="2410" spans="1:7" ht="15" customHeight="1">
      <c r="A2410" s="6">
        <v>2406</v>
      </c>
      <c r="B2410" s="11" t="s">
        <v>2284</v>
      </c>
      <c r="C2410" s="11">
        <f xml:space="preserve">     15950</f>
        <v>15950</v>
      </c>
      <c r="D2410" s="13"/>
      <c r="E2410" s="18"/>
      <c r="F2410" s="18"/>
      <c r="G2410" s="8">
        <f t="shared" si="37"/>
        <v>0</v>
      </c>
    </row>
    <row r="2411" spans="1:7" ht="15" customHeight="1">
      <c r="A2411" s="6">
        <v>2407</v>
      </c>
      <c r="B2411" s="11" t="s">
        <v>2285</v>
      </c>
      <c r="C2411" s="11">
        <f xml:space="preserve">     16600</f>
        <v>16600</v>
      </c>
      <c r="D2411" s="13"/>
      <c r="E2411" s="18"/>
      <c r="F2411" s="18"/>
      <c r="G2411" s="8">
        <f t="shared" si="37"/>
        <v>0</v>
      </c>
    </row>
    <row r="2412" spans="1:7" ht="15" customHeight="1">
      <c r="A2412" s="6">
        <v>2408</v>
      </c>
      <c r="B2412" s="11" t="s">
        <v>2286</v>
      </c>
      <c r="C2412" s="11">
        <f xml:space="preserve">     80250</f>
        <v>80250</v>
      </c>
      <c r="D2412" s="13"/>
      <c r="E2412" s="18"/>
      <c r="F2412" s="18"/>
      <c r="G2412" s="8">
        <f t="shared" si="37"/>
        <v>0</v>
      </c>
    </row>
    <row r="2413" spans="1:7" ht="15" customHeight="1">
      <c r="A2413" s="6">
        <v>2409</v>
      </c>
      <c r="B2413" s="11" t="s">
        <v>2287</v>
      </c>
      <c r="C2413" s="11">
        <f xml:space="preserve">     34350</f>
        <v>34350</v>
      </c>
      <c r="D2413" s="13"/>
      <c r="E2413" s="18"/>
      <c r="F2413" s="18"/>
      <c r="G2413" s="8">
        <f t="shared" si="37"/>
        <v>0</v>
      </c>
    </row>
    <row r="2414" spans="1:7" ht="15" customHeight="1">
      <c r="A2414" s="6">
        <v>2410</v>
      </c>
      <c r="B2414" s="11" t="s">
        <v>2288</v>
      </c>
      <c r="C2414" s="11">
        <f xml:space="preserve">     45650</f>
        <v>45650</v>
      </c>
      <c r="D2414" s="13"/>
      <c r="E2414" s="18"/>
      <c r="F2414" s="18"/>
      <c r="G2414" s="8">
        <f t="shared" si="37"/>
        <v>0</v>
      </c>
    </row>
    <row r="2415" spans="1:7" ht="15" customHeight="1">
      <c r="A2415" s="6">
        <v>2411</v>
      </c>
      <c r="B2415" s="11" t="s">
        <v>2289</v>
      </c>
      <c r="C2415" s="11">
        <f xml:space="preserve">     20800</f>
        <v>20800</v>
      </c>
      <c r="D2415" s="13"/>
      <c r="E2415" s="18"/>
      <c r="F2415" s="18"/>
      <c r="G2415" s="8">
        <f t="shared" si="37"/>
        <v>0</v>
      </c>
    </row>
    <row r="2416" spans="1:7" ht="15" customHeight="1">
      <c r="A2416" s="6">
        <v>2412</v>
      </c>
      <c r="B2416" s="11" t="s">
        <v>2290</v>
      </c>
      <c r="C2416" s="11">
        <f xml:space="preserve">     20900</f>
        <v>20900</v>
      </c>
      <c r="D2416" s="13"/>
      <c r="E2416" s="18"/>
      <c r="F2416" s="18"/>
      <c r="G2416" s="8">
        <f t="shared" si="37"/>
        <v>0</v>
      </c>
    </row>
    <row r="2417" spans="1:7" ht="15" customHeight="1">
      <c r="A2417" s="6">
        <v>2413</v>
      </c>
      <c r="B2417" s="11" t="s">
        <v>2291</v>
      </c>
      <c r="C2417" s="11">
        <f xml:space="preserve">     19100</f>
        <v>19100</v>
      </c>
      <c r="D2417" s="13"/>
      <c r="E2417" s="18"/>
      <c r="F2417" s="18"/>
      <c r="G2417" s="8">
        <f t="shared" si="37"/>
        <v>0</v>
      </c>
    </row>
    <row r="2418" spans="1:7" ht="15" customHeight="1">
      <c r="A2418" s="6">
        <v>2414</v>
      </c>
      <c r="B2418" s="11" t="s">
        <v>2292</v>
      </c>
      <c r="C2418" s="11">
        <f xml:space="preserve">     21900</f>
        <v>21900</v>
      </c>
      <c r="D2418" s="13"/>
      <c r="E2418" s="18"/>
      <c r="F2418" s="18"/>
      <c r="G2418" s="8">
        <f t="shared" si="37"/>
        <v>0</v>
      </c>
    </row>
    <row r="2419" spans="1:7" ht="15" customHeight="1">
      <c r="A2419" s="6">
        <v>2415</v>
      </c>
      <c r="B2419" s="11" t="s">
        <v>2293</v>
      </c>
      <c r="C2419" s="11">
        <f xml:space="preserve">     21150</f>
        <v>21150</v>
      </c>
      <c r="D2419" s="13"/>
      <c r="E2419" s="18"/>
      <c r="F2419" s="18"/>
      <c r="G2419" s="8">
        <f t="shared" si="37"/>
        <v>0</v>
      </c>
    </row>
    <row r="2420" spans="1:7" ht="15" customHeight="1">
      <c r="A2420" s="6">
        <v>2416</v>
      </c>
      <c r="B2420" s="11" t="s">
        <v>2294</v>
      </c>
      <c r="C2420" s="11">
        <f xml:space="preserve">     20700</f>
        <v>20700</v>
      </c>
      <c r="D2420" s="13"/>
      <c r="E2420" s="18"/>
      <c r="F2420" s="18"/>
      <c r="G2420" s="8">
        <f t="shared" si="37"/>
        <v>0</v>
      </c>
    </row>
    <row r="2421" spans="1:7" ht="15" customHeight="1">
      <c r="A2421" s="6">
        <v>2417</v>
      </c>
      <c r="B2421" s="11" t="s">
        <v>2295</v>
      </c>
      <c r="C2421" s="11">
        <f xml:space="preserve">     20350</f>
        <v>20350</v>
      </c>
      <c r="D2421" s="13"/>
      <c r="E2421" s="18"/>
      <c r="F2421" s="18"/>
      <c r="G2421" s="8">
        <f t="shared" si="37"/>
        <v>0</v>
      </c>
    </row>
    <row r="2422" spans="1:7" ht="15" customHeight="1">
      <c r="A2422" s="6">
        <v>2418</v>
      </c>
      <c r="B2422" s="11" t="s">
        <v>2295</v>
      </c>
      <c r="C2422" s="11">
        <f xml:space="preserve">     20350</f>
        <v>20350</v>
      </c>
      <c r="D2422" s="13"/>
      <c r="E2422" s="18"/>
      <c r="F2422" s="18"/>
      <c r="G2422" s="8">
        <f t="shared" si="37"/>
        <v>0</v>
      </c>
    </row>
    <row r="2423" spans="1:7" ht="15" customHeight="1">
      <c r="A2423" s="6">
        <v>2419</v>
      </c>
      <c r="B2423" s="11" t="s">
        <v>2296</v>
      </c>
      <c r="C2423" s="11">
        <f xml:space="preserve">     25900</f>
        <v>25900</v>
      </c>
      <c r="D2423" s="13"/>
      <c r="E2423" s="18"/>
      <c r="F2423" s="18"/>
      <c r="G2423" s="8">
        <f t="shared" si="37"/>
        <v>0</v>
      </c>
    </row>
    <row r="2424" spans="1:7" ht="15" customHeight="1">
      <c r="A2424" s="6">
        <v>2420</v>
      </c>
      <c r="B2424" s="11" t="s">
        <v>2297</v>
      </c>
      <c r="C2424" s="11">
        <f xml:space="preserve">      9300</f>
        <v>9300</v>
      </c>
      <c r="D2424" s="13"/>
      <c r="E2424" s="18"/>
      <c r="F2424" s="18"/>
      <c r="G2424" s="8">
        <f t="shared" si="37"/>
        <v>0</v>
      </c>
    </row>
    <row r="2425" spans="1:7" ht="15" customHeight="1">
      <c r="A2425" s="6">
        <v>2421</v>
      </c>
      <c r="B2425" s="11" t="s">
        <v>2298</v>
      </c>
      <c r="C2425" s="11">
        <f xml:space="preserve">      2700</f>
        <v>2700</v>
      </c>
      <c r="D2425" s="13"/>
      <c r="E2425" s="18"/>
      <c r="F2425" s="18"/>
      <c r="G2425" s="8">
        <f t="shared" si="37"/>
        <v>0</v>
      </c>
    </row>
    <row r="2426" spans="1:7" ht="15" customHeight="1">
      <c r="A2426" s="6">
        <v>2422</v>
      </c>
      <c r="B2426" s="11" t="s">
        <v>2299</v>
      </c>
      <c r="C2426" s="11">
        <f xml:space="preserve">      7150</f>
        <v>7150</v>
      </c>
      <c r="D2426" s="13"/>
      <c r="E2426" s="18"/>
      <c r="F2426" s="18"/>
      <c r="G2426" s="8">
        <f t="shared" si="37"/>
        <v>0</v>
      </c>
    </row>
    <row r="2427" spans="1:7" ht="15" customHeight="1">
      <c r="A2427" s="6">
        <v>2423</v>
      </c>
      <c r="B2427" s="11" t="s">
        <v>2299</v>
      </c>
      <c r="C2427" s="11">
        <f xml:space="preserve">      7200</f>
        <v>7200</v>
      </c>
      <c r="D2427" s="13"/>
      <c r="E2427" s="18"/>
      <c r="F2427" s="18"/>
      <c r="G2427" s="8">
        <f t="shared" si="37"/>
        <v>0</v>
      </c>
    </row>
    <row r="2428" spans="1:7" ht="15" customHeight="1">
      <c r="A2428" s="6">
        <v>2424</v>
      </c>
      <c r="B2428" s="11" t="s">
        <v>2300</v>
      </c>
      <c r="C2428" s="11">
        <f xml:space="preserve">      3000</f>
        <v>3000</v>
      </c>
      <c r="D2428" s="13"/>
      <c r="E2428" s="18"/>
      <c r="F2428" s="18"/>
      <c r="G2428" s="8">
        <f t="shared" si="37"/>
        <v>0</v>
      </c>
    </row>
    <row r="2429" spans="1:7" ht="15" customHeight="1">
      <c r="A2429" s="6">
        <v>2425</v>
      </c>
      <c r="B2429" s="11" t="s">
        <v>2301</v>
      </c>
      <c r="C2429" s="11">
        <f xml:space="preserve">     15850</f>
        <v>15850</v>
      </c>
      <c r="D2429" s="13"/>
      <c r="E2429" s="18"/>
      <c r="F2429" s="18"/>
      <c r="G2429" s="8">
        <f t="shared" ref="G2429:G2448" si="38">C2429*D2429+E2429*F2429</f>
        <v>0</v>
      </c>
    </row>
    <row r="2430" spans="1:7" ht="15" customHeight="1">
      <c r="A2430" s="6">
        <v>2426</v>
      </c>
      <c r="B2430" s="11" t="s">
        <v>2302</v>
      </c>
      <c r="C2430" s="11">
        <f xml:space="preserve">      3100</f>
        <v>3100</v>
      </c>
      <c r="D2430" s="13"/>
      <c r="E2430" s="18"/>
      <c r="F2430" s="18"/>
      <c r="G2430" s="8">
        <f t="shared" si="38"/>
        <v>0</v>
      </c>
    </row>
    <row r="2431" spans="1:7" ht="15" customHeight="1">
      <c r="A2431" s="6">
        <v>2427</v>
      </c>
      <c r="B2431" s="11" t="s">
        <v>2303</v>
      </c>
      <c r="C2431" s="11">
        <f xml:space="preserve">     33700</f>
        <v>33700</v>
      </c>
      <c r="D2431" s="13"/>
      <c r="E2431" s="18"/>
      <c r="F2431" s="18"/>
      <c r="G2431" s="8">
        <f t="shared" si="38"/>
        <v>0</v>
      </c>
    </row>
    <row r="2432" spans="1:7" ht="15" customHeight="1">
      <c r="A2432" s="6">
        <v>2428</v>
      </c>
      <c r="B2432" s="11" t="s">
        <v>2304</v>
      </c>
      <c r="C2432" s="11">
        <f xml:space="preserve">      3300</f>
        <v>3300</v>
      </c>
      <c r="D2432" s="13"/>
      <c r="E2432" s="18"/>
      <c r="F2432" s="18"/>
      <c r="G2432" s="8">
        <f t="shared" si="38"/>
        <v>0</v>
      </c>
    </row>
    <row r="2433" spans="1:7" ht="15" customHeight="1">
      <c r="A2433" s="6">
        <v>2429</v>
      </c>
      <c r="B2433" s="11" t="s">
        <v>2305</v>
      </c>
      <c r="C2433" s="11">
        <f xml:space="preserve">      4600</f>
        <v>4600</v>
      </c>
      <c r="D2433" s="13"/>
      <c r="E2433" s="18"/>
      <c r="F2433" s="18"/>
      <c r="G2433" s="8">
        <f t="shared" si="38"/>
        <v>0</v>
      </c>
    </row>
    <row r="2434" spans="1:7" ht="15" customHeight="1">
      <c r="A2434" s="6">
        <v>2430</v>
      </c>
      <c r="B2434" s="11" t="s">
        <v>2306</v>
      </c>
      <c r="C2434" s="11">
        <f xml:space="preserve">      4500</f>
        <v>4500</v>
      </c>
      <c r="D2434" s="13"/>
      <c r="E2434" s="18"/>
      <c r="F2434" s="18"/>
      <c r="G2434" s="8">
        <f t="shared" si="38"/>
        <v>0</v>
      </c>
    </row>
    <row r="2435" spans="1:7" ht="15" customHeight="1">
      <c r="A2435" s="6">
        <v>2431</v>
      </c>
      <c r="B2435" s="11" t="s">
        <v>2306</v>
      </c>
      <c r="C2435" s="11">
        <f xml:space="preserve">      4500</f>
        <v>4500</v>
      </c>
      <c r="D2435" s="13"/>
      <c r="E2435" s="18"/>
      <c r="F2435" s="18"/>
      <c r="G2435" s="8">
        <f t="shared" si="38"/>
        <v>0</v>
      </c>
    </row>
    <row r="2436" spans="1:7" ht="15" customHeight="1">
      <c r="A2436" s="6">
        <v>2432</v>
      </c>
      <c r="B2436" s="11" t="s">
        <v>2307</v>
      </c>
      <c r="C2436" s="11">
        <f xml:space="preserve">      4200</f>
        <v>4200</v>
      </c>
      <c r="D2436" s="13"/>
      <c r="E2436" s="18"/>
      <c r="F2436" s="18"/>
      <c r="G2436" s="8">
        <f t="shared" si="38"/>
        <v>0</v>
      </c>
    </row>
    <row r="2437" spans="1:7" ht="15" customHeight="1">
      <c r="A2437" s="6">
        <v>2433</v>
      </c>
      <c r="B2437" s="11" t="s">
        <v>2308</v>
      </c>
      <c r="C2437" s="11">
        <f xml:space="preserve">      4150</f>
        <v>4150</v>
      </c>
      <c r="D2437" s="13"/>
      <c r="E2437" s="18"/>
      <c r="F2437" s="18"/>
      <c r="G2437" s="8">
        <f t="shared" si="38"/>
        <v>0</v>
      </c>
    </row>
    <row r="2438" spans="1:7" ht="15" customHeight="1">
      <c r="A2438" s="6">
        <v>2434</v>
      </c>
      <c r="B2438" s="11" t="s">
        <v>2309</v>
      </c>
      <c r="C2438" s="11">
        <f xml:space="preserve">      5700</f>
        <v>5700</v>
      </c>
      <c r="D2438" s="13"/>
      <c r="E2438" s="18"/>
      <c r="F2438" s="18"/>
      <c r="G2438" s="8">
        <f t="shared" si="38"/>
        <v>0</v>
      </c>
    </row>
    <row r="2439" spans="1:7" ht="15" customHeight="1">
      <c r="A2439" s="6">
        <v>2435</v>
      </c>
      <c r="B2439" s="11" t="s">
        <v>2310</v>
      </c>
      <c r="C2439" s="11">
        <f xml:space="preserve">     41800</f>
        <v>41800</v>
      </c>
      <c r="D2439" s="13"/>
      <c r="E2439" s="18"/>
      <c r="F2439" s="18"/>
      <c r="G2439" s="8">
        <f t="shared" si="38"/>
        <v>0</v>
      </c>
    </row>
    <row r="2440" spans="1:7" ht="15" customHeight="1">
      <c r="A2440" s="6">
        <v>2436</v>
      </c>
      <c r="B2440" s="11" t="s">
        <v>2311</v>
      </c>
      <c r="C2440" s="11">
        <f xml:space="preserve">     65950</f>
        <v>65950</v>
      </c>
      <c r="D2440" s="13"/>
      <c r="E2440" s="18"/>
      <c r="F2440" s="18"/>
      <c r="G2440" s="8">
        <f t="shared" si="38"/>
        <v>0</v>
      </c>
    </row>
    <row r="2441" spans="1:7" ht="15" customHeight="1">
      <c r="A2441" s="6">
        <v>2437</v>
      </c>
      <c r="B2441" s="11" t="s">
        <v>2312</v>
      </c>
      <c r="C2441" s="11">
        <f xml:space="preserve">     38600</f>
        <v>38600</v>
      </c>
      <c r="D2441" s="13"/>
      <c r="E2441" s="18"/>
      <c r="F2441" s="18"/>
      <c r="G2441" s="8">
        <f t="shared" si="38"/>
        <v>0</v>
      </c>
    </row>
    <row r="2442" spans="1:7" ht="15" customHeight="1">
      <c r="A2442" s="6">
        <v>2438</v>
      </c>
      <c r="B2442" s="11" t="s">
        <v>2313</v>
      </c>
      <c r="C2442" s="11">
        <f xml:space="preserve">    119500</f>
        <v>119500</v>
      </c>
      <c r="D2442" s="13"/>
      <c r="E2442" s="18"/>
      <c r="F2442" s="18"/>
      <c r="G2442" s="8">
        <f t="shared" si="38"/>
        <v>0</v>
      </c>
    </row>
    <row r="2443" spans="1:7" ht="15" customHeight="1">
      <c r="A2443" s="6">
        <v>2439</v>
      </c>
      <c r="B2443" s="11" t="s">
        <v>2314</v>
      </c>
      <c r="C2443" s="11">
        <f xml:space="preserve">    139500</f>
        <v>139500</v>
      </c>
      <c r="D2443" s="13"/>
      <c r="E2443" s="18"/>
      <c r="F2443" s="18"/>
      <c r="G2443" s="8">
        <f t="shared" si="38"/>
        <v>0</v>
      </c>
    </row>
    <row r="2444" spans="1:7" ht="15" customHeight="1">
      <c r="A2444" s="6">
        <v>2440</v>
      </c>
      <c r="B2444" s="11" t="s">
        <v>2315</v>
      </c>
      <c r="C2444" s="11">
        <f xml:space="preserve">      1075</f>
        <v>1075</v>
      </c>
      <c r="D2444" s="13"/>
      <c r="E2444" s="18"/>
      <c r="F2444" s="18"/>
      <c r="G2444" s="8">
        <f t="shared" si="38"/>
        <v>0</v>
      </c>
    </row>
    <row r="2445" spans="1:7" ht="15" customHeight="1">
      <c r="A2445" s="6">
        <v>2441</v>
      </c>
      <c r="B2445" s="11" t="s">
        <v>2316</v>
      </c>
      <c r="C2445" s="11">
        <f xml:space="preserve">       700</f>
        <v>700</v>
      </c>
      <c r="D2445" s="13"/>
      <c r="E2445" s="18"/>
      <c r="F2445" s="18"/>
      <c r="G2445" s="8">
        <f t="shared" si="38"/>
        <v>0</v>
      </c>
    </row>
    <row r="2446" spans="1:7" ht="15" customHeight="1">
      <c r="A2446" s="6">
        <v>2442</v>
      </c>
      <c r="B2446" s="11" t="s">
        <v>2316</v>
      </c>
      <c r="C2446" s="11">
        <f xml:space="preserve">       700</f>
        <v>700</v>
      </c>
      <c r="D2446" s="13"/>
      <c r="E2446" s="18"/>
      <c r="F2446" s="18"/>
      <c r="G2446" s="8">
        <f t="shared" si="38"/>
        <v>0</v>
      </c>
    </row>
    <row r="2447" spans="1:7" ht="15" customHeight="1">
      <c r="A2447" s="6">
        <v>2443</v>
      </c>
      <c r="B2447" s="11" t="s">
        <v>2317</v>
      </c>
      <c r="C2447" s="11">
        <f xml:space="preserve">     66200</f>
        <v>66200</v>
      </c>
      <c r="D2447" s="13"/>
      <c r="E2447" s="18"/>
      <c r="F2447" s="18"/>
      <c r="G2447" s="8">
        <f t="shared" si="38"/>
        <v>0</v>
      </c>
    </row>
    <row r="2448" spans="1:7" ht="15" customHeight="1">
      <c r="A2448" s="6">
        <v>2444</v>
      </c>
      <c r="B2448" s="11" t="s">
        <v>2318</v>
      </c>
      <c r="C2448" s="11">
        <f xml:space="preserve">      5200</f>
        <v>5200</v>
      </c>
      <c r="D2448" s="13"/>
      <c r="E2448" s="18"/>
      <c r="F2448" s="18"/>
      <c r="G2448" s="8">
        <f t="shared" si="38"/>
        <v>0</v>
      </c>
    </row>
    <row r="2449" spans="1:7" ht="15" customHeight="1">
      <c r="A2449" s="6">
        <v>2445</v>
      </c>
      <c r="B2449" s="11" t="s">
        <v>2319</v>
      </c>
      <c r="C2449" s="11">
        <f xml:space="preserve">      4400</f>
        <v>4400</v>
      </c>
      <c r="D2449" s="13"/>
      <c r="E2449" s="18"/>
      <c r="F2449" s="18"/>
      <c r="G2449" s="8">
        <f t="shared" ref="G2449:G2512" si="39">C2449*D2449+E2449*F2449</f>
        <v>0</v>
      </c>
    </row>
    <row r="2450" spans="1:7" ht="15" customHeight="1">
      <c r="A2450" s="6">
        <v>2446</v>
      </c>
      <c r="B2450" s="11" t="s">
        <v>2320</v>
      </c>
      <c r="C2450" s="11">
        <f xml:space="preserve">      5200</f>
        <v>5200</v>
      </c>
      <c r="D2450" s="13"/>
      <c r="E2450" s="18"/>
      <c r="F2450" s="18"/>
      <c r="G2450" s="8">
        <f t="shared" si="39"/>
        <v>0</v>
      </c>
    </row>
    <row r="2451" spans="1:7" ht="15" customHeight="1">
      <c r="A2451" s="6">
        <v>2447</v>
      </c>
      <c r="B2451" s="11" t="s">
        <v>2321</v>
      </c>
      <c r="C2451" s="11">
        <f xml:space="preserve">      1400</f>
        <v>1400</v>
      </c>
      <c r="D2451" s="13"/>
      <c r="E2451" s="18"/>
      <c r="F2451" s="18"/>
      <c r="G2451" s="8">
        <f t="shared" si="39"/>
        <v>0</v>
      </c>
    </row>
    <row r="2452" spans="1:7" ht="15" customHeight="1">
      <c r="A2452" s="6">
        <v>2448</v>
      </c>
      <c r="B2452" s="11" t="s">
        <v>2322</v>
      </c>
      <c r="C2452" s="11">
        <f xml:space="preserve">      1200</f>
        <v>1200</v>
      </c>
      <c r="D2452" s="13"/>
      <c r="E2452" s="18"/>
      <c r="F2452" s="18"/>
      <c r="G2452" s="8">
        <f t="shared" si="39"/>
        <v>0</v>
      </c>
    </row>
    <row r="2453" spans="1:7" ht="15" customHeight="1">
      <c r="A2453" s="6">
        <v>2449</v>
      </c>
      <c r="B2453" s="11" t="s">
        <v>2323</v>
      </c>
      <c r="C2453" s="11">
        <f xml:space="preserve">      5700</f>
        <v>5700</v>
      </c>
      <c r="D2453" s="13"/>
      <c r="E2453" s="18"/>
      <c r="F2453" s="18"/>
      <c r="G2453" s="8">
        <f t="shared" si="39"/>
        <v>0</v>
      </c>
    </row>
    <row r="2454" spans="1:7" ht="15" customHeight="1">
      <c r="A2454" s="6">
        <v>2450</v>
      </c>
      <c r="B2454" s="11" t="s">
        <v>2324</v>
      </c>
      <c r="C2454" s="11">
        <f xml:space="preserve">      4400</f>
        <v>4400</v>
      </c>
      <c r="D2454" s="13"/>
      <c r="E2454" s="18"/>
      <c r="F2454" s="18"/>
      <c r="G2454" s="8">
        <f t="shared" si="39"/>
        <v>0</v>
      </c>
    </row>
    <row r="2455" spans="1:7" ht="15" customHeight="1">
      <c r="A2455" s="6">
        <v>2451</v>
      </c>
      <c r="B2455" s="11" t="s">
        <v>2325</v>
      </c>
      <c r="C2455" s="11">
        <f xml:space="preserve">      4400</f>
        <v>4400</v>
      </c>
      <c r="D2455" s="13"/>
      <c r="E2455" s="18"/>
      <c r="F2455" s="18"/>
      <c r="G2455" s="8">
        <f t="shared" si="39"/>
        <v>0</v>
      </c>
    </row>
    <row r="2456" spans="1:7" ht="15" customHeight="1">
      <c r="A2456" s="6">
        <v>2452</v>
      </c>
      <c r="B2456" s="11" t="s">
        <v>2326</v>
      </c>
      <c r="C2456" s="11">
        <f xml:space="preserve">      4400</f>
        <v>4400</v>
      </c>
      <c r="D2456" s="13"/>
      <c r="E2456" s="18"/>
      <c r="F2456" s="18"/>
      <c r="G2456" s="8">
        <f t="shared" si="39"/>
        <v>0</v>
      </c>
    </row>
    <row r="2457" spans="1:7" ht="15" customHeight="1">
      <c r="A2457" s="6">
        <v>2453</v>
      </c>
      <c r="B2457" s="11" t="s">
        <v>2327</v>
      </c>
      <c r="C2457" s="11">
        <f xml:space="preserve">      5750</f>
        <v>5750</v>
      </c>
      <c r="D2457" s="13"/>
      <c r="E2457" s="18"/>
      <c r="F2457" s="18"/>
      <c r="G2457" s="8">
        <f t="shared" si="39"/>
        <v>0</v>
      </c>
    </row>
    <row r="2458" spans="1:7" ht="15" customHeight="1">
      <c r="A2458" s="6">
        <v>2454</v>
      </c>
      <c r="B2458" s="11" t="s">
        <v>2328</v>
      </c>
      <c r="C2458" s="11">
        <f xml:space="preserve">      5500</f>
        <v>5500</v>
      </c>
      <c r="D2458" s="13"/>
      <c r="E2458" s="18"/>
      <c r="F2458" s="18"/>
      <c r="G2458" s="8">
        <f t="shared" si="39"/>
        <v>0</v>
      </c>
    </row>
    <row r="2459" spans="1:7" ht="15" customHeight="1">
      <c r="A2459" s="6">
        <v>2455</v>
      </c>
      <c r="B2459" s="11" t="s">
        <v>2329</v>
      </c>
      <c r="C2459" s="11">
        <f xml:space="preserve">      4400</f>
        <v>4400</v>
      </c>
      <c r="D2459" s="13"/>
      <c r="E2459" s="18"/>
      <c r="F2459" s="18"/>
      <c r="G2459" s="8">
        <f t="shared" si="39"/>
        <v>0</v>
      </c>
    </row>
    <row r="2460" spans="1:7" ht="15" customHeight="1">
      <c r="A2460" s="6">
        <v>2456</v>
      </c>
      <c r="B2460" s="11" t="s">
        <v>2330</v>
      </c>
      <c r="C2460" s="11">
        <f xml:space="preserve">      4400</f>
        <v>4400</v>
      </c>
      <c r="D2460" s="13"/>
      <c r="E2460" s="18"/>
      <c r="F2460" s="18"/>
      <c r="G2460" s="8">
        <f t="shared" si="39"/>
        <v>0</v>
      </c>
    </row>
    <row r="2461" spans="1:7" ht="15" customHeight="1">
      <c r="A2461" s="6">
        <v>2457</v>
      </c>
      <c r="B2461" s="11" t="s">
        <v>2331</v>
      </c>
      <c r="C2461" s="11">
        <f xml:space="preserve">      5200</f>
        <v>5200</v>
      </c>
      <c r="D2461" s="13"/>
      <c r="E2461" s="18"/>
      <c r="F2461" s="18"/>
      <c r="G2461" s="8">
        <f t="shared" si="39"/>
        <v>0</v>
      </c>
    </row>
    <row r="2462" spans="1:7" ht="15" customHeight="1">
      <c r="A2462" s="6">
        <v>2458</v>
      </c>
      <c r="B2462" s="11" t="s">
        <v>2332</v>
      </c>
      <c r="C2462" s="11">
        <f xml:space="preserve">      4400</f>
        <v>4400</v>
      </c>
      <c r="D2462" s="13"/>
      <c r="E2462" s="18"/>
      <c r="F2462" s="18"/>
      <c r="G2462" s="8">
        <f t="shared" si="39"/>
        <v>0</v>
      </c>
    </row>
    <row r="2463" spans="1:7" ht="15" customHeight="1">
      <c r="A2463" s="6">
        <v>2459</v>
      </c>
      <c r="B2463" s="11" t="s">
        <v>2333</v>
      </c>
      <c r="C2463" s="11">
        <f xml:space="preserve">      4650</f>
        <v>4650</v>
      </c>
      <c r="D2463" s="13"/>
      <c r="E2463" s="18"/>
      <c r="F2463" s="18"/>
      <c r="G2463" s="8">
        <f t="shared" si="39"/>
        <v>0</v>
      </c>
    </row>
    <row r="2464" spans="1:7" ht="15" customHeight="1">
      <c r="A2464" s="6">
        <v>2460</v>
      </c>
      <c r="B2464" s="11" t="s">
        <v>2334</v>
      </c>
      <c r="C2464" s="11">
        <f xml:space="preserve">      4400</f>
        <v>4400</v>
      </c>
      <c r="D2464" s="13"/>
      <c r="E2464" s="18"/>
      <c r="F2464" s="18"/>
      <c r="G2464" s="8">
        <f t="shared" si="39"/>
        <v>0</v>
      </c>
    </row>
    <row r="2465" spans="1:7" ht="15" customHeight="1">
      <c r="A2465" s="6">
        <v>2461</v>
      </c>
      <c r="B2465" s="11" t="s">
        <v>2335</v>
      </c>
      <c r="C2465" s="11">
        <f xml:space="preserve">      6650</f>
        <v>6650</v>
      </c>
      <c r="D2465" s="13"/>
      <c r="E2465" s="18"/>
      <c r="F2465" s="18"/>
      <c r="G2465" s="8">
        <f t="shared" si="39"/>
        <v>0</v>
      </c>
    </row>
    <row r="2466" spans="1:7" ht="15" customHeight="1">
      <c r="A2466" s="6">
        <v>2462</v>
      </c>
      <c r="B2466" s="11" t="s">
        <v>2336</v>
      </c>
      <c r="C2466" s="11">
        <f xml:space="preserve">      4400</f>
        <v>4400</v>
      </c>
      <c r="D2466" s="13"/>
      <c r="E2466" s="18"/>
      <c r="F2466" s="18"/>
      <c r="G2466" s="8">
        <f t="shared" si="39"/>
        <v>0</v>
      </c>
    </row>
    <row r="2467" spans="1:7" ht="15" customHeight="1">
      <c r="A2467" s="6">
        <v>2463</v>
      </c>
      <c r="B2467" s="11" t="s">
        <v>2337</v>
      </c>
      <c r="C2467" s="11">
        <f xml:space="preserve">      4600</f>
        <v>4600</v>
      </c>
      <c r="D2467" s="13"/>
      <c r="E2467" s="18"/>
      <c r="F2467" s="18"/>
      <c r="G2467" s="8">
        <f t="shared" si="39"/>
        <v>0</v>
      </c>
    </row>
    <row r="2468" spans="1:7" ht="15" customHeight="1">
      <c r="A2468" s="6">
        <v>2464</v>
      </c>
      <c r="B2468" s="11" t="s">
        <v>2338</v>
      </c>
      <c r="C2468" s="11">
        <f xml:space="preserve">      4400</f>
        <v>4400</v>
      </c>
      <c r="D2468" s="13"/>
      <c r="E2468" s="18"/>
      <c r="F2468" s="18"/>
      <c r="G2468" s="8">
        <f t="shared" si="39"/>
        <v>0</v>
      </c>
    </row>
    <row r="2469" spans="1:7" ht="15" customHeight="1">
      <c r="A2469" s="6">
        <v>2465</v>
      </c>
      <c r="B2469" s="11" t="s">
        <v>2339</v>
      </c>
      <c r="C2469" s="11">
        <f xml:space="preserve">      4500</f>
        <v>4500</v>
      </c>
      <c r="D2469" s="13"/>
      <c r="E2469" s="18"/>
      <c r="F2469" s="18"/>
      <c r="G2469" s="8">
        <f t="shared" si="39"/>
        <v>0</v>
      </c>
    </row>
    <row r="2470" spans="1:7" ht="15" customHeight="1">
      <c r="A2470" s="6">
        <v>2466</v>
      </c>
      <c r="B2470" s="11" t="s">
        <v>2340</v>
      </c>
      <c r="C2470" s="11">
        <f xml:space="preserve">      5200</f>
        <v>5200</v>
      </c>
      <c r="D2470" s="13"/>
      <c r="E2470" s="18"/>
      <c r="F2470" s="18"/>
      <c r="G2470" s="8">
        <f t="shared" si="39"/>
        <v>0</v>
      </c>
    </row>
    <row r="2471" spans="1:7" ht="15" customHeight="1">
      <c r="A2471" s="6">
        <v>2467</v>
      </c>
      <c r="B2471" s="11" t="s">
        <v>2341</v>
      </c>
      <c r="C2471" s="11">
        <f xml:space="preserve">      1400</f>
        <v>1400</v>
      </c>
      <c r="D2471" s="13"/>
      <c r="E2471" s="18"/>
      <c r="F2471" s="18"/>
      <c r="G2471" s="8">
        <f t="shared" si="39"/>
        <v>0</v>
      </c>
    </row>
    <row r="2472" spans="1:7" ht="15" customHeight="1">
      <c r="A2472" s="6">
        <v>2468</v>
      </c>
      <c r="B2472" s="11" t="s">
        <v>2342</v>
      </c>
      <c r="C2472" s="11">
        <f xml:space="preserve">      1400</f>
        <v>1400</v>
      </c>
      <c r="D2472" s="13"/>
      <c r="E2472" s="18"/>
      <c r="F2472" s="18"/>
      <c r="G2472" s="8">
        <f t="shared" si="39"/>
        <v>0</v>
      </c>
    </row>
    <row r="2473" spans="1:7" ht="15" customHeight="1">
      <c r="A2473" s="6">
        <v>2469</v>
      </c>
      <c r="B2473" s="11" t="s">
        <v>2343</v>
      </c>
      <c r="C2473" s="11">
        <f xml:space="preserve">      1400</f>
        <v>1400</v>
      </c>
      <c r="D2473" s="13"/>
      <c r="E2473" s="18"/>
      <c r="F2473" s="18"/>
      <c r="G2473" s="8">
        <f t="shared" si="39"/>
        <v>0</v>
      </c>
    </row>
    <row r="2474" spans="1:7" ht="15" customHeight="1">
      <c r="A2474" s="6">
        <v>2470</v>
      </c>
      <c r="B2474" s="11" t="s">
        <v>2344</v>
      </c>
      <c r="C2474" s="11">
        <f xml:space="preserve">      1210</f>
        <v>1210</v>
      </c>
      <c r="D2474" s="13"/>
      <c r="E2474" s="18"/>
      <c r="F2474" s="18"/>
      <c r="G2474" s="8">
        <f t="shared" si="39"/>
        <v>0</v>
      </c>
    </row>
    <row r="2475" spans="1:7" ht="15" customHeight="1">
      <c r="A2475" s="6">
        <v>2471</v>
      </c>
      <c r="B2475" s="11" t="s">
        <v>2345</v>
      </c>
      <c r="C2475" s="11">
        <f xml:space="preserve">     24200</f>
        <v>24200</v>
      </c>
      <c r="D2475" s="13"/>
      <c r="E2475" s="18"/>
      <c r="F2475" s="18"/>
      <c r="G2475" s="8">
        <f t="shared" si="39"/>
        <v>0</v>
      </c>
    </row>
    <row r="2476" spans="1:7" ht="15" customHeight="1">
      <c r="A2476" s="6">
        <v>2472</v>
      </c>
      <c r="B2476" s="11" t="s">
        <v>2346</v>
      </c>
      <c r="C2476" s="11">
        <f xml:space="preserve">     26350</f>
        <v>26350</v>
      </c>
      <c r="D2476" s="13"/>
      <c r="E2476" s="18"/>
      <c r="F2476" s="18"/>
      <c r="G2476" s="8">
        <f t="shared" si="39"/>
        <v>0</v>
      </c>
    </row>
    <row r="2477" spans="1:7" ht="15" customHeight="1">
      <c r="A2477" s="6">
        <v>2473</v>
      </c>
      <c r="B2477" s="11" t="s">
        <v>2347</v>
      </c>
      <c r="C2477" s="11">
        <f xml:space="preserve">     49500</f>
        <v>49500</v>
      </c>
      <c r="D2477" s="13"/>
      <c r="E2477" s="18"/>
      <c r="F2477" s="18"/>
      <c r="G2477" s="8">
        <f t="shared" si="39"/>
        <v>0</v>
      </c>
    </row>
    <row r="2478" spans="1:7" ht="15" customHeight="1">
      <c r="A2478" s="6">
        <v>2474</v>
      </c>
      <c r="B2478" s="11" t="s">
        <v>2348</v>
      </c>
      <c r="C2478" s="11">
        <f xml:space="preserve">     32800</f>
        <v>32800</v>
      </c>
      <c r="D2478" s="13"/>
      <c r="E2478" s="18"/>
      <c r="F2478" s="18"/>
      <c r="G2478" s="8">
        <f t="shared" si="39"/>
        <v>0</v>
      </c>
    </row>
    <row r="2479" spans="1:7" ht="15" customHeight="1">
      <c r="A2479" s="6">
        <v>2475</v>
      </c>
      <c r="B2479" s="11" t="s">
        <v>2349</v>
      </c>
      <c r="C2479" s="11">
        <f xml:space="preserve">     35750</f>
        <v>35750</v>
      </c>
      <c r="D2479" s="13"/>
      <c r="E2479" s="18"/>
      <c r="F2479" s="18"/>
      <c r="G2479" s="8">
        <f t="shared" si="39"/>
        <v>0</v>
      </c>
    </row>
    <row r="2480" spans="1:7" ht="15" customHeight="1">
      <c r="A2480" s="6">
        <v>2476</v>
      </c>
      <c r="B2480" s="11" t="s">
        <v>2350</v>
      </c>
      <c r="C2480" s="11">
        <f xml:space="preserve">      8200</f>
        <v>8200</v>
      </c>
      <c r="D2480" s="13"/>
      <c r="E2480" s="18"/>
      <c r="F2480" s="18"/>
      <c r="G2480" s="8">
        <f t="shared" si="39"/>
        <v>0</v>
      </c>
    </row>
    <row r="2481" spans="1:7" ht="15" customHeight="1">
      <c r="A2481" s="6">
        <v>2477</v>
      </c>
      <c r="B2481" s="11" t="s">
        <v>2351</v>
      </c>
      <c r="C2481" s="11">
        <f xml:space="preserve">      9100</f>
        <v>9100</v>
      </c>
      <c r="D2481" s="13"/>
      <c r="E2481" s="18"/>
      <c r="F2481" s="18"/>
      <c r="G2481" s="8">
        <f t="shared" si="39"/>
        <v>0</v>
      </c>
    </row>
    <row r="2482" spans="1:7" ht="15" customHeight="1">
      <c r="A2482" s="6">
        <v>2478</v>
      </c>
      <c r="B2482" s="11" t="s">
        <v>2352</v>
      </c>
      <c r="C2482" s="11">
        <f xml:space="preserve">       850</f>
        <v>850</v>
      </c>
      <c r="D2482" s="13"/>
      <c r="E2482" s="18"/>
      <c r="F2482" s="18"/>
      <c r="G2482" s="8">
        <f t="shared" si="39"/>
        <v>0</v>
      </c>
    </row>
    <row r="2483" spans="1:7" ht="15" customHeight="1">
      <c r="A2483" s="6">
        <v>2479</v>
      </c>
      <c r="B2483" s="11" t="s">
        <v>2353</v>
      </c>
      <c r="C2483" s="11">
        <f xml:space="preserve">       475</f>
        <v>475</v>
      </c>
      <c r="D2483" s="13"/>
      <c r="E2483" s="18"/>
      <c r="F2483" s="18"/>
      <c r="G2483" s="8">
        <f t="shared" si="39"/>
        <v>0</v>
      </c>
    </row>
    <row r="2484" spans="1:7" ht="15" customHeight="1">
      <c r="A2484" s="6">
        <v>2480</v>
      </c>
      <c r="B2484" s="11" t="s">
        <v>2354</v>
      </c>
      <c r="C2484" s="11">
        <f xml:space="preserve">       305</f>
        <v>305</v>
      </c>
      <c r="D2484" s="13"/>
      <c r="E2484" s="18"/>
      <c r="F2484" s="18"/>
      <c r="G2484" s="8">
        <f t="shared" si="39"/>
        <v>0</v>
      </c>
    </row>
    <row r="2485" spans="1:7" ht="15" customHeight="1">
      <c r="A2485" s="6">
        <v>2481</v>
      </c>
      <c r="B2485" s="11" t="s">
        <v>2355</v>
      </c>
      <c r="C2485" s="11">
        <f xml:space="preserve">       340</f>
        <v>340</v>
      </c>
      <c r="D2485" s="13"/>
      <c r="E2485" s="18"/>
      <c r="F2485" s="18"/>
      <c r="G2485" s="8">
        <f t="shared" si="39"/>
        <v>0</v>
      </c>
    </row>
    <row r="2486" spans="1:7" ht="15" customHeight="1">
      <c r="A2486" s="6">
        <v>2482</v>
      </c>
      <c r="B2486" s="11" t="s">
        <v>2356</v>
      </c>
      <c r="C2486" s="11">
        <f xml:space="preserve">      8900</f>
        <v>8900</v>
      </c>
      <c r="D2486" s="13"/>
      <c r="E2486" s="18"/>
      <c r="F2486" s="18"/>
      <c r="G2486" s="8">
        <f t="shared" si="39"/>
        <v>0</v>
      </c>
    </row>
    <row r="2487" spans="1:7" ht="15" customHeight="1">
      <c r="A2487" s="6">
        <v>2483</v>
      </c>
      <c r="B2487" s="11" t="s">
        <v>2357</v>
      </c>
      <c r="C2487" s="11">
        <f xml:space="preserve">      8290</f>
        <v>8290</v>
      </c>
      <c r="D2487" s="13"/>
      <c r="E2487" s="18"/>
      <c r="F2487" s="18"/>
      <c r="G2487" s="8">
        <f t="shared" si="39"/>
        <v>0</v>
      </c>
    </row>
    <row r="2488" spans="1:7" ht="15" customHeight="1">
      <c r="A2488" s="6">
        <v>2484</v>
      </c>
      <c r="B2488" s="11" t="s">
        <v>2358</v>
      </c>
      <c r="C2488" s="11">
        <f xml:space="preserve">     99300</f>
        <v>99300</v>
      </c>
      <c r="D2488" s="13"/>
      <c r="E2488" s="18"/>
      <c r="F2488" s="18"/>
      <c r="G2488" s="8">
        <f t="shared" si="39"/>
        <v>0</v>
      </c>
    </row>
    <row r="2489" spans="1:7" ht="15" customHeight="1">
      <c r="A2489" s="6">
        <v>2485</v>
      </c>
      <c r="B2489" s="11" t="s">
        <v>2359</v>
      </c>
      <c r="C2489" s="11">
        <f xml:space="preserve">    150750</f>
        <v>150750</v>
      </c>
      <c r="D2489" s="13"/>
      <c r="E2489" s="18"/>
      <c r="F2489" s="18"/>
      <c r="G2489" s="8">
        <f t="shared" si="39"/>
        <v>0</v>
      </c>
    </row>
    <row r="2490" spans="1:7" ht="15" customHeight="1">
      <c r="A2490" s="6">
        <v>2486</v>
      </c>
      <c r="B2490" s="11" t="s">
        <v>2360</v>
      </c>
      <c r="C2490" s="11">
        <f xml:space="preserve">     23950</f>
        <v>23950</v>
      </c>
      <c r="D2490" s="13"/>
      <c r="E2490" s="18"/>
      <c r="F2490" s="18"/>
      <c r="G2490" s="8">
        <f t="shared" si="39"/>
        <v>0</v>
      </c>
    </row>
    <row r="2491" spans="1:7" ht="15" customHeight="1">
      <c r="A2491" s="6">
        <v>2487</v>
      </c>
      <c r="B2491" s="11" t="s">
        <v>2361</v>
      </c>
      <c r="C2491" s="11">
        <f xml:space="preserve">     59500</f>
        <v>59500</v>
      </c>
      <c r="D2491" s="13"/>
      <c r="E2491" s="18"/>
      <c r="F2491" s="18"/>
      <c r="G2491" s="8">
        <f t="shared" si="39"/>
        <v>0</v>
      </c>
    </row>
    <row r="2492" spans="1:7" ht="15" customHeight="1">
      <c r="A2492" s="6">
        <v>2488</v>
      </c>
      <c r="B2492" s="11" t="s">
        <v>2362</v>
      </c>
      <c r="C2492" s="11">
        <f xml:space="preserve">     22750</f>
        <v>22750</v>
      </c>
      <c r="D2492" s="13"/>
      <c r="E2492" s="18"/>
      <c r="F2492" s="18"/>
      <c r="G2492" s="8">
        <f t="shared" si="39"/>
        <v>0</v>
      </c>
    </row>
    <row r="2493" spans="1:7" ht="15" customHeight="1">
      <c r="A2493" s="6">
        <v>2489</v>
      </c>
      <c r="B2493" s="11" t="s">
        <v>2363</v>
      </c>
      <c r="C2493" s="11">
        <f xml:space="preserve">     40900</f>
        <v>40900</v>
      </c>
      <c r="D2493" s="13"/>
      <c r="E2493" s="18"/>
      <c r="F2493" s="18"/>
      <c r="G2493" s="8">
        <f t="shared" si="39"/>
        <v>0</v>
      </c>
    </row>
    <row r="2494" spans="1:7" ht="15" customHeight="1">
      <c r="A2494" s="6">
        <v>2490</v>
      </c>
      <c r="B2494" s="11" t="s">
        <v>2364</v>
      </c>
      <c r="C2494" s="11">
        <f xml:space="preserve">     23350</f>
        <v>23350</v>
      </c>
      <c r="D2494" s="13"/>
      <c r="E2494" s="18"/>
      <c r="F2494" s="18"/>
      <c r="G2494" s="8">
        <f t="shared" si="39"/>
        <v>0</v>
      </c>
    </row>
    <row r="2495" spans="1:7" ht="15" customHeight="1">
      <c r="A2495" s="6">
        <v>2491</v>
      </c>
      <c r="B2495" s="11" t="s">
        <v>2365</v>
      </c>
      <c r="C2495" s="11">
        <f xml:space="preserve">     28350</f>
        <v>28350</v>
      </c>
      <c r="D2495" s="13"/>
      <c r="E2495" s="18"/>
      <c r="F2495" s="18"/>
      <c r="G2495" s="8">
        <f t="shared" si="39"/>
        <v>0</v>
      </c>
    </row>
    <row r="2496" spans="1:7" ht="15" customHeight="1">
      <c r="A2496" s="6">
        <v>2492</v>
      </c>
      <c r="B2496" s="11" t="s">
        <v>2366</v>
      </c>
      <c r="C2496" s="11">
        <f xml:space="preserve">     54650</f>
        <v>54650</v>
      </c>
      <c r="D2496" s="13"/>
      <c r="E2496" s="18"/>
      <c r="F2496" s="18"/>
      <c r="G2496" s="8">
        <f t="shared" si="39"/>
        <v>0</v>
      </c>
    </row>
    <row r="2497" spans="1:7" ht="15" customHeight="1">
      <c r="A2497" s="6">
        <v>2493</v>
      </c>
      <c r="B2497" s="11" t="s">
        <v>2367</v>
      </c>
      <c r="C2497" s="11">
        <f xml:space="preserve">     45200</f>
        <v>45200</v>
      </c>
      <c r="D2497" s="13"/>
      <c r="E2497" s="18"/>
      <c r="F2497" s="18"/>
      <c r="G2497" s="8">
        <f t="shared" si="39"/>
        <v>0</v>
      </c>
    </row>
    <row r="2498" spans="1:7" ht="15" customHeight="1">
      <c r="A2498" s="6">
        <v>2494</v>
      </c>
      <c r="B2498" s="11" t="s">
        <v>2368</v>
      </c>
      <c r="C2498" s="11">
        <f xml:space="preserve">     57450</f>
        <v>57450</v>
      </c>
      <c r="D2498" s="13"/>
      <c r="E2498" s="18"/>
      <c r="F2498" s="18"/>
      <c r="G2498" s="8">
        <f t="shared" si="39"/>
        <v>0</v>
      </c>
    </row>
    <row r="2499" spans="1:7" ht="15" customHeight="1">
      <c r="A2499" s="6">
        <v>2495</v>
      </c>
      <c r="B2499" s="11" t="s">
        <v>2369</v>
      </c>
      <c r="C2499" s="11">
        <f xml:space="preserve">     74900</f>
        <v>74900</v>
      </c>
      <c r="D2499" s="13"/>
      <c r="E2499" s="18"/>
      <c r="F2499" s="18"/>
      <c r="G2499" s="8">
        <f t="shared" si="39"/>
        <v>0</v>
      </c>
    </row>
    <row r="2500" spans="1:7" ht="15" customHeight="1">
      <c r="A2500" s="6">
        <v>2496</v>
      </c>
      <c r="B2500" s="11" t="s">
        <v>2370</v>
      </c>
      <c r="C2500" s="11">
        <f xml:space="preserve">     35600</f>
        <v>35600</v>
      </c>
      <c r="D2500" s="13"/>
      <c r="E2500" s="18"/>
      <c r="F2500" s="18"/>
      <c r="G2500" s="8">
        <f t="shared" si="39"/>
        <v>0</v>
      </c>
    </row>
    <row r="2501" spans="1:7" ht="15" customHeight="1">
      <c r="A2501" s="6">
        <v>2497</v>
      </c>
      <c r="B2501" s="11" t="s">
        <v>2371</v>
      </c>
      <c r="C2501" s="11">
        <f xml:space="preserve">    147000</f>
        <v>147000</v>
      </c>
      <c r="D2501" s="13"/>
      <c r="E2501" s="18"/>
      <c r="F2501" s="18"/>
      <c r="G2501" s="8">
        <f t="shared" si="39"/>
        <v>0</v>
      </c>
    </row>
    <row r="2502" spans="1:7" ht="15" customHeight="1">
      <c r="A2502" s="6">
        <v>2498</v>
      </c>
      <c r="B2502" s="11" t="s">
        <v>2372</v>
      </c>
      <c r="C2502" s="11">
        <f xml:space="preserve">     43500</f>
        <v>43500</v>
      </c>
      <c r="D2502" s="13"/>
      <c r="E2502" s="18"/>
      <c r="F2502" s="18"/>
      <c r="G2502" s="8">
        <f t="shared" si="39"/>
        <v>0</v>
      </c>
    </row>
    <row r="2503" spans="1:7" ht="15" customHeight="1">
      <c r="A2503" s="6">
        <v>2499</v>
      </c>
      <c r="B2503" s="11" t="s">
        <v>2373</v>
      </c>
      <c r="C2503" s="11">
        <f xml:space="preserve">     33400</f>
        <v>33400</v>
      </c>
      <c r="D2503" s="13"/>
      <c r="E2503" s="18"/>
      <c r="F2503" s="18"/>
      <c r="G2503" s="8">
        <f t="shared" si="39"/>
        <v>0</v>
      </c>
    </row>
    <row r="2504" spans="1:7" ht="15" customHeight="1">
      <c r="A2504" s="6">
        <v>2500</v>
      </c>
      <c r="B2504" s="11" t="s">
        <v>2374</v>
      </c>
      <c r="C2504" s="11">
        <f xml:space="preserve">     29800</f>
        <v>29800</v>
      </c>
      <c r="D2504" s="13"/>
      <c r="E2504" s="18"/>
      <c r="F2504" s="18"/>
      <c r="G2504" s="8">
        <f t="shared" si="39"/>
        <v>0</v>
      </c>
    </row>
    <row r="2505" spans="1:7" ht="15" customHeight="1">
      <c r="A2505" s="6">
        <v>2501</v>
      </c>
      <c r="B2505" s="11" t="s">
        <v>2375</v>
      </c>
      <c r="C2505" s="11">
        <f xml:space="preserve">     10000</f>
        <v>10000</v>
      </c>
      <c r="D2505" s="13"/>
      <c r="E2505" s="18"/>
      <c r="F2505" s="18"/>
      <c r="G2505" s="8">
        <f t="shared" si="39"/>
        <v>0</v>
      </c>
    </row>
    <row r="2506" spans="1:7" ht="15" customHeight="1">
      <c r="A2506" s="6">
        <v>2502</v>
      </c>
      <c r="B2506" s="11" t="s">
        <v>2376</v>
      </c>
      <c r="C2506" s="11">
        <f xml:space="preserve">     43900</f>
        <v>43900</v>
      </c>
      <c r="D2506" s="13"/>
      <c r="E2506" s="18"/>
      <c r="F2506" s="18"/>
      <c r="G2506" s="8">
        <f t="shared" si="39"/>
        <v>0</v>
      </c>
    </row>
    <row r="2507" spans="1:7" ht="15" customHeight="1">
      <c r="A2507" s="6">
        <v>2503</v>
      </c>
      <c r="B2507" s="11" t="s">
        <v>2377</v>
      </c>
      <c r="C2507" s="11">
        <f xml:space="preserve">     78450</f>
        <v>78450</v>
      </c>
      <c r="D2507" s="13"/>
      <c r="E2507" s="18"/>
      <c r="F2507" s="18"/>
      <c r="G2507" s="8">
        <f t="shared" si="39"/>
        <v>0</v>
      </c>
    </row>
    <row r="2508" spans="1:7" ht="15" customHeight="1">
      <c r="A2508" s="6">
        <v>2504</v>
      </c>
      <c r="B2508" s="11" t="s">
        <v>2378</v>
      </c>
      <c r="C2508" s="11">
        <f xml:space="preserve">    140900</f>
        <v>140900</v>
      </c>
      <c r="D2508" s="13"/>
      <c r="E2508" s="18"/>
      <c r="F2508" s="18"/>
      <c r="G2508" s="8">
        <f t="shared" si="39"/>
        <v>0</v>
      </c>
    </row>
    <row r="2509" spans="1:7" ht="15" customHeight="1">
      <c r="A2509" s="6">
        <v>2505</v>
      </c>
      <c r="B2509" s="11" t="s">
        <v>2379</v>
      </c>
      <c r="C2509" s="11">
        <f xml:space="preserve">    311500</f>
        <v>311500</v>
      </c>
      <c r="D2509" s="13"/>
      <c r="E2509" s="18"/>
      <c r="F2509" s="18"/>
      <c r="G2509" s="8">
        <f t="shared" si="39"/>
        <v>0</v>
      </c>
    </row>
    <row r="2510" spans="1:7" ht="15" customHeight="1">
      <c r="A2510" s="6">
        <v>2506</v>
      </c>
      <c r="B2510" s="11" t="s">
        <v>2380</v>
      </c>
      <c r="C2510" s="11">
        <f xml:space="preserve">     22500</f>
        <v>22500</v>
      </c>
      <c r="D2510" s="13"/>
      <c r="E2510" s="18"/>
      <c r="F2510" s="18"/>
      <c r="G2510" s="8">
        <f t="shared" si="39"/>
        <v>0</v>
      </c>
    </row>
    <row r="2511" spans="1:7" ht="15" customHeight="1">
      <c r="A2511" s="6">
        <v>2507</v>
      </c>
      <c r="B2511" s="11" t="s">
        <v>2381</v>
      </c>
      <c r="C2511" s="11">
        <f xml:space="preserve">    126500</f>
        <v>126500</v>
      </c>
      <c r="D2511" s="13"/>
      <c r="E2511" s="18"/>
      <c r="F2511" s="18"/>
      <c r="G2511" s="8">
        <f t="shared" si="39"/>
        <v>0</v>
      </c>
    </row>
    <row r="2512" spans="1:7" ht="15" customHeight="1">
      <c r="A2512" s="6">
        <v>2508</v>
      </c>
      <c r="B2512" s="11" t="s">
        <v>2382</v>
      </c>
      <c r="C2512" s="11">
        <f xml:space="preserve">     18800</f>
        <v>18800</v>
      </c>
      <c r="D2512" s="13"/>
      <c r="E2512" s="18"/>
      <c r="F2512" s="18"/>
      <c r="G2512" s="8">
        <f t="shared" si="39"/>
        <v>0</v>
      </c>
    </row>
    <row r="2513" spans="1:7" ht="15" customHeight="1">
      <c r="A2513" s="6">
        <v>2509</v>
      </c>
      <c r="B2513" s="11" t="s">
        <v>2383</v>
      </c>
      <c r="C2513" s="11">
        <f xml:space="preserve">     88950</f>
        <v>88950</v>
      </c>
      <c r="D2513" s="13"/>
      <c r="E2513" s="18"/>
      <c r="F2513" s="18"/>
      <c r="G2513" s="8">
        <f t="shared" ref="G2513:G2522" si="40">C2513*D2513+E2513*F2513</f>
        <v>0</v>
      </c>
    </row>
    <row r="2514" spans="1:7" ht="15" customHeight="1">
      <c r="A2514" s="6">
        <v>2510</v>
      </c>
      <c r="B2514" s="11" t="s">
        <v>2384</v>
      </c>
      <c r="C2514" s="11">
        <f xml:space="preserve">     89550</f>
        <v>89550</v>
      </c>
      <c r="D2514" s="13"/>
      <c r="E2514" s="18"/>
      <c r="F2514" s="18"/>
      <c r="G2514" s="8">
        <f t="shared" si="40"/>
        <v>0</v>
      </c>
    </row>
    <row r="2515" spans="1:7" ht="15" customHeight="1">
      <c r="A2515" s="6">
        <v>2511</v>
      </c>
      <c r="B2515" s="11" t="s">
        <v>2385</v>
      </c>
      <c r="C2515" s="11">
        <f xml:space="preserve">     87700</f>
        <v>87700</v>
      </c>
      <c r="D2515" s="13"/>
      <c r="E2515" s="18"/>
      <c r="F2515" s="18"/>
      <c r="G2515" s="8">
        <f t="shared" si="40"/>
        <v>0</v>
      </c>
    </row>
    <row r="2516" spans="1:7" ht="15" customHeight="1">
      <c r="A2516" s="6">
        <v>2512</v>
      </c>
      <c r="B2516" s="11" t="s">
        <v>2386</v>
      </c>
      <c r="C2516" s="11">
        <f xml:space="preserve">     70400</f>
        <v>70400</v>
      </c>
      <c r="D2516" s="13"/>
      <c r="E2516" s="18"/>
      <c r="F2516" s="18"/>
      <c r="G2516" s="8">
        <f t="shared" si="40"/>
        <v>0</v>
      </c>
    </row>
    <row r="2517" spans="1:7" ht="15" customHeight="1">
      <c r="A2517" s="6">
        <v>2513</v>
      </c>
      <c r="B2517" s="11" t="s">
        <v>2387</v>
      </c>
      <c r="C2517" s="11">
        <f xml:space="preserve">     45900</f>
        <v>45900</v>
      </c>
      <c r="D2517" s="13"/>
      <c r="E2517" s="18"/>
      <c r="F2517" s="18"/>
      <c r="G2517" s="8">
        <f t="shared" si="40"/>
        <v>0</v>
      </c>
    </row>
    <row r="2518" spans="1:7" ht="15" customHeight="1">
      <c r="A2518" s="6">
        <v>2514</v>
      </c>
      <c r="B2518" s="11" t="s">
        <v>2388</v>
      </c>
      <c r="C2518" s="11">
        <f xml:space="preserve">     25700</f>
        <v>25700</v>
      </c>
      <c r="D2518" s="13"/>
      <c r="E2518" s="18"/>
      <c r="F2518" s="18"/>
      <c r="G2518" s="8">
        <f t="shared" si="40"/>
        <v>0</v>
      </c>
    </row>
    <row r="2519" spans="1:7" ht="15" customHeight="1">
      <c r="A2519" s="6">
        <v>2515</v>
      </c>
      <c r="B2519" s="11" t="s">
        <v>2389</v>
      </c>
      <c r="C2519" s="11">
        <f xml:space="preserve">     28150</f>
        <v>28150</v>
      </c>
      <c r="D2519" s="13"/>
      <c r="E2519" s="18"/>
      <c r="F2519" s="18"/>
      <c r="G2519" s="8">
        <f t="shared" si="40"/>
        <v>0</v>
      </c>
    </row>
    <row r="2520" spans="1:7" ht="15" customHeight="1">
      <c r="A2520" s="6">
        <v>2516</v>
      </c>
      <c r="B2520" s="11" t="s">
        <v>2390</v>
      </c>
      <c r="C2520" s="11">
        <f xml:space="preserve">     41100</f>
        <v>41100</v>
      </c>
      <c r="D2520" s="13"/>
      <c r="E2520" s="18"/>
      <c r="F2520" s="18"/>
      <c r="G2520" s="8">
        <f t="shared" si="40"/>
        <v>0</v>
      </c>
    </row>
    <row r="2521" spans="1:7" ht="15" customHeight="1">
      <c r="A2521" s="6">
        <v>2517</v>
      </c>
      <c r="B2521" s="11" t="s">
        <v>2391</v>
      </c>
      <c r="C2521" s="11">
        <f xml:space="preserve">     32650</f>
        <v>32650</v>
      </c>
      <c r="D2521" s="13"/>
      <c r="E2521" s="18"/>
      <c r="F2521" s="18"/>
      <c r="G2521" s="8">
        <f t="shared" si="40"/>
        <v>0</v>
      </c>
    </row>
    <row r="2522" spans="1:7" ht="15" customHeight="1">
      <c r="A2522" s="6">
        <v>2518</v>
      </c>
      <c r="B2522" s="11" t="s">
        <v>2392</v>
      </c>
      <c r="C2522" s="11">
        <f xml:space="preserve">     22650</f>
        <v>22650</v>
      </c>
      <c r="D2522" s="13"/>
      <c r="E2522" s="18"/>
      <c r="F2522" s="18"/>
      <c r="G2522" s="8">
        <f t="shared" si="40"/>
        <v>0</v>
      </c>
    </row>
    <row r="2523" spans="1:7" ht="15" customHeight="1">
      <c r="A2523" s="6">
        <v>2519</v>
      </c>
      <c r="B2523" s="11" t="s">
        <v>2393</v>
      </c>
      <c r="C2523" s="11">
        <f xml:space="preserve">     22550</f>
        <v>22550</v>
      </c>
      <c r="D2523" s="13"/>
      <c r="E2523" s="18"/>
      <c r="F2523" s="18"/>
      <c r="G2523" s="8">
        <f t="shared" ref="G2523:G2536" si="41">C2523*D2523+E2523*F2523</f>
        <v>0</v>
      </c>
    </row>
    <row r="2524" spans="1:7" ht="15" customHeight="1">
      <c r="A2524" s="6">
        <v>2520</v>
      </c>
      <c r="B2524" s="11" t="s">
        <v>2394</v>
      </c>
      <c r="C2524" s="11">
        <f xml:space="preserve">     28550</f>
        <v>28550</v>
      </c>
      <c r="D2524" s="13"/>
      <c r="E2524" s="18"/>
      <c r="F2524" s="18"/>
      <c r="G2524" s="8">
        <f t="shared" si="41"/>
        <v>0</v>
      </c>
    </row>
    <row r="2525" spans="1:7" ht="15" customHeight="1">
      <c r="A2525" s="6">
        <v>2521</v>
      </c>
      <c r="B2525" s="11" t="s">
        <v>2395</v>
      </c>
      <c r="C2525" s="11">
        <f xml:space="preserve">     12150</f>
        <v>12150</v>
      </c>
      <c r="D2525" s="13"/>
      <c r="E2525" s="18"/>
      <c r="F2525" s="18"/>
      <c r="G2525" s="8">
        <f t="shared" si="41"/>
        <v>0</v>
      </c>
    </row>
    <row r="2526" spans="1:7" ht="15" customHeight="1">
      <c r="A2526" s="6">
        <v>2522</v>
      </c>
      <c r="B2526" s="11" t="s">
        <v>2396</v>
      </c>
      <c r="C2526" s="11">
        <f xml:space="preserve">     18150</f>
        <v>18150</v>
      </c>
      <c r="D2526" s="13"/>
      <c r="E2526" s="18"/>
      <c r="F2526" s="18"/>
      <c r="G2526" s="8">
        <f t="shared" si="41"/>
        <v>0</v>
      </c>
    </row>
    <row r="2527" spans="1:7" ht="15" customHeight="1">
      <c r="A2527" s="6">
        <v>2523</v>
      </c>
      <c r="B2527" s="11" t="s">
        <v>2397</v>
      </c>
      <c r="C2527" s="11">
        <f xml:space="preserve">     20500</f>
        <v>20500</v>
      </c>
      <c r="D2527" s="13"/>
      <c r="E2527" s="18"/>
      <c r="F2527" s="18"/>
      <c r="G2527" s="8">
        <f t="shared" si="41"/>
        <v>0</v>
      </c>
    </row>
    <row r="2528" spans="1:7" ht="15" customHeight="1">
      <c r="A2528" s="6">
        <v>2524</v>
      </c>
      <c r="B2528" s="11" t="s">
        <v>2398</v>
      </c>
      <c r="C2528" s="11">
        <f xml:space="preserve">     10850</f>
        <v>10850</v>
      </c>
      <c r="D2528" s="13"/>
      <c r="E2528" s="18"/>
      <c r="F2528" s="18"/>
      <c r="G2528" s="8">
        <f t="shared" si="41"/>
        <v>0</v>
      </c>
    </row>
    <row r="2529" spans="1:7" ht="15" customHeight="1">
      <c r="A2529" s="6">
        <v>2525</v>
      </c>
      <c r="B2529" s="11" t="s">
        <v>2399</v>
      </c>
      <c r="C2529" s="11">
        <f xml:space="preserve">     29650</f>
        <v>29650</v>
      </c>
      <c r="D2529" s="13"/>
      <c r="E2529" s="18"/>
      <c r="F2529" s="18"/>
      <c r="G2529" s="8">
        <f t="shared" si="41"/>
        <v>0</v>
      </c>
    </row>
    <row r="2530" spans="1:7" ht="15" customHeight="1">
      <c r="A2530" s="6">
        <v>2526</v>
      </c>
      <c r="B2530" s="11" t="s">
        <v>2400</v>
      </c>
      <c r="C2530" s="11">
        <f xml:space="preserve">     15350</f>
        <v>15350</v>
      </c>
      <c r="D2530" s="13"/>
      <c r="E2530" s="18"/>
      <c r="F2530" s="18"/>
      <c r="G2530" s="8">
        <f t="shared" si="41"/>
        <v>0</v>
      </c>
    </row>
    <row r="2531" spans="1:7" ht="15" customHeight="1">
      <c r="A2531" s="6">
        <v>2527</v>
      </c>
      <c r="B2531" s="11" t="s">
        <v>2401</v>
      </c>
      <c r="C2531" s="11">
        <f xml:space="preserve">     26700</f>
        <v>26700</v>
      </c>
      <c r="D2531" s="13"/>
      <c r="E2531" s="18"/>
      <c r="F2531" s="18"/>
      <c r="G2531" s="8">
        <f t="shared" si="41"/>
        <v>0</v>
      </c>
    </row>
    <row r="2532" spans="1:7" ht="15" customHeight="1">
      <c r="A2532" s="6">
        <v>2528</v>
      </c>
      <c r="B2532" s="11" t="s">
        <v>2402</v>
      </c>
      <c r="C2532" s="11">
        <f xml:space="preserve">     35450</f>
        <v>35450</v>
      </c>
      <c r="D2532" s="13"/>
      <c r="E2532" s="18"/>
      <c r="F2532" s="18"/>
      <c r="G2532" s="8">
        <f t="shared" si="41"/>
        <v>0</v>
      </c>
    </row>
    <row r="2533" spans="1:7" ht="15" customHeight="1">
      <c r="A2533" s="6">
        <v>2529</v>
      </c>
      <c r="B2533" s="11" t="s">
        <v>2403</v>
      </c>
      <c r="C2533" s="11">
        <f xml:space="preserve">     28500</f>
        <v>28500</v>
      </c>
      <c r="D2533" s="13"/>
      <c r="E2533" s="18"/>
      <c r="F2533" s="18"/>
      <c r="G2533" s="8">
        <f t="shared" si="41"/>
        <v>0</v>
      </c>
    </row>
    <row r="2534" spans="1:7" ht="15" customHeight="1">
      <c r="A2534" s="6">
        <v>2530</v>
      </c>
      <c r="B2534" s="11" t="s">
        <v>2404</v>
      </c>
      <c r="C2534" s="11">
        <f xml:space="preserve">    218000</f>
        <v>218000</v>
      </c>
      <c r="D2534" s="13"/>
      <c r="E2534" s="18"/>
      <c r="F2534" s="18"/>
      <c r="G2534" s="8">
        <f t="shared" si="41"/>
        <v>0</v>
      </c>
    </row>
    <row r="2535" spans="1:7" ht="15" customHeight="1">
      <c r="A2535" s="6">
        <v>2531</v>
      </c>
      <c r="B2535" s="11" t="s">
        <v>2405</v>
      </c>
      <c r="C2535" s="11">
        <f xml:space="preserve">     69450</f>
        <v>69450</v>
      </c>
      <c r="D2535" s="13"/>
      <c r="E2535" s="18"/>
      <c r="F2535" s="18"/>
      <c r="G2535" s="8">
        <f t="shared" si="41"/>
        <v>0</v>
      </c>
    </row>
    <row r="2536" spans="1:7" ht="15" customHeight="1">
      <c r="A2536" s="6">
        <v>2532</v>
      </c>
      <c r="B2536" s="11" t="s">
        <v>2406</v>
      </c>
      <c r="C2536" s="11">
        <f xml:space="preserve">     54000</f>
        <v>54000</v>
      </c>
      <c r="D2536" s="13"/>
      <c r="E2536" s="18"/>
      <c r="F2536" s="18"/>
      <c r="G2536" s="8">
        <f t="shared" si="41"/>
        <v>0</v>
      </c>
    </row>
    <row r="2537" spans="1:7" ht="15" customHeight="1">
      <c r="A2537" s="6">
        <v>2533</v>
      </c>
      <c r="B2537" s="11" t="s">
        <v>2407</v>
      </c>
      <c r="C2537" s="11">
        <f xml:space="preserve">     43100</f>
        <v>43100</v>
      </c>
      <c r="D2537" s="13"/>
      <c r="E2537" s="18"/>
      <c r="F2537" s="18"/>
      <c r="G2537" s="8">
        <f t="shared" ref="G2537:G2540" si="42">C2537*D2537+E2537*F2537</f>
        <v>0</v>
      </c>
    </row>
    <row r="2538" spans="1:7" ht="15" customHeight="1">
      <c r="A2538" s="6">
        <v>2534</v>
      </c>
      <c r="B2538" s="11" t="s">
        <v>2408</v>
      </c>
      <c r="C2538" s="11">
        <f xml:space="preserve">     84950</f>
        <v>84950</v>
      </c>
      <c r="D2538" s="13"/>
      <c r="E2538" s="18"/>
      <c r="F2538" s="18"/>
      <c r="G2538" s="8">
        <f t="shared" si="42"/>
        <v>0</v>
      </c>
    </row>
    <row r="2539" spans="1:7" ht="15" customHeight="1">
      <c r="A2539" s="6">
        <v>2535</v>
      </c>
      <c r="B2539" s="11" t="s">
        <v>2409</v>
      </c>
      <c r="C2539" s="11">
        <f xml:space="preserve">      6150</f>
        <v>6150</v>
      </c>
      <c r="D2539" s="13"/>
      <c r="E2539" s="18"/>
      <c r="F2539" s="18"/>
      <c r="G2539" s="8">
        <f t="shared" si="42"/>
        <v>0</v>
      </c>
    </row>
    <row r="2540" spans="1:7" ht="15" customHeight="1">
      <c r="A2540" s="6">
        <v>2536</v>
      </c>
      <c r="B2540" s="11" t="s">
        <v>2410</v>
      </c>
      <c r="C2540" s="11">
        <f xml:space="preserve">     10250</f>
        <v>10250</v>
      </c>
      <c r="D2540" s="13"/>
      <c r="E2540" s="18"/>
      <c r="F2540" s="18"/>
      <c r="G2540" s="8">
        <f t="shared" si="42"/>
        <v>0</v>
      </c>
    </row>
    <row r="2541" spans="1:7" ht="15" customHeight="1">
      <c r="A2541" s="6">
        <v>2537</v>
      </c>
      <c r="B2541" s="11" t="s">
        <v>2488</v>
      </c>
      <c r="C2541" s="11">
        <f xml:space="preserve">     61000</f>
        <v>61000</v>
      </c>
      <c r="D2541" s="13"/>
      <c r="E2541" s="18"/>
      <c r="F2541" s="18"/>
      <c r="G2541" s="8">
        <f t="shared" ref="G2541:G2587" si="43">C2541*D2541+E2541*F2541</f>
        <v>0</v>
      </c>
    </row>
    <row r="2542" spans="1:7" ht="15" customHeight="1">
      <c r="A2542" s="6">
        <v>2538</v>
      </c>
      <c r="B2542" s="11" t="s">
        <v>2411</v>
      </c>
      <c r="C2542" s="11">
        <f xml:space="preserve">     60500</f>
        <v>60500</v>
      </c>
      <c r="D2542" s="13"/>
      <c r="E2542" s="18"/>
      <c r="F2542" s="18"/>
      <c r="G2542" s="8">
        <f t="shared" si="43"/>
        <v>0</v>
      </c>
    </row>
    <row r="2543" spans="1:7" ht="15" customHeight="1">
      <c r="A2543" s="6">
        <v>2539</v>
      </c>
      <c r="B2543" s="11" t="s">
        <v>2412</v>
      </c>
      <c r="C2543" s="11">
        <f xml:space="preserve">     61550</f>
        <v>61550</v>
      </c>
      <c r="D2543" s="13"/>
      <c r="E2543" s="18"/>
      <c r="F2543" s="18"/>
      <c r="G2543" s="8">
        <f t="shared" si="43"/>
        <v>0</v>
      </c>
    </row>
    <row r="2544" spans="1:7" ht="15" customHeight="1">
      <c r="A2544" s="6">
        <v>2540</v>
      </c>
      <c r="B2544" s="11" t="s">
        <v>2413</v>
      </c>
      <c r="C2544" s="11">
        <f xml:space="preserve">    244150</f>
        <v>244150</v>
      </c>
      <c r="D2544" s="13"/>
      <c r="E2544" s="18"/>
      <c r="F2544" s="18"/>
      <c r="G2544" s="8">
        <f t="shared" si="43"/>
        <v>0</v>
      </c>
    </row>
    <row r="2545" spans="1:7" ht="15" customHeight="1">
      <c r="A2545" s="6">
        <v>2541</v>
      </c>
      <c r="B2545" s="11" t="s">
        <v>2414</v>
      </c>
      <c r="C2545" s="11">
        <f xml:space="preserve">     20650</f>
        <v>20650</v>
      </c>
      <c r="D2545" s="13"/>
      <c r="E2545" s="18"/>
      <c r="F2545" s="18"/>
      <c r="G2545" s="8">
        <f t="shared" si="43"/>
        <v>0</v>
      </c>
    </row>
    <row r="2546" spans="1:7" ht="15" customHeight="1">
      <c r="A2546" s="6">
        <v>2542</v>
      </c>
      <c r="B2546" s="11" t="s">
        <v>2415</v>
      </c>
      <c r="C2546" s="11">
        <f xml:space="preserve">     20100</f>
        <v>20100</v>
      </c>
      <c r="D2546" s="13"/>
      <c r="E2546" s="18"/>
      <c r="F2546" s="18"/>
      <c r="G2546" s="8">
        <f t="shared" si="43"/>
        <v>0</v>
      </c>
    </row>
    <row r="2547" spans="1:7" ht="15" customHeight="1">
      <c r="A2547" s="6">
        <v>2543</v>
      </c>
      <c r="B2547" s="11" t="s">
        <v>2416</v>
      </c>
      <c r="C2547" s="11">
        <f xml:space="preserve">     49100</f>
        <v>49100</v>
      </c>
      <c r="D2547" s="13"/>
      <c r="E2547" s="18"/>
      <c r="F2547" s="18"/>
      <c r="G2547" s="8">
        <f t="shared" si="43"/>
        <v>0</v>
      </c>
    </row>
    <row r="2548" spans="1:7" ht="15" customHeight="1">
      <c r="A2548" s="6">
        <v>2544</v>
      </c>
      <c r="B2548" s="11" t="s">
        <v>2417</v>
      </c>
      <c r="C2548" s="11">
        <f xml:space="preserve">     48100</f>
        <v>48100</v>
      </c>
      <c r="D2548" s="13"/>
      <c r="E2548" s="18"/>
      <c r="F2548" s="18"/>
      <c r="G2548" s="8">
        <f t="shared" si="43"/>
        <v>0</v>
      </c>
    </row>
    <row r="2549" spans="1:7" ht="15" customHeight="1">
      <c r="A2549" s="6">
        <v>2545</v>
      </c>
      <c r="B2549" s="11" t="s">
        <v>2418</v>
      </c>
      <c r="C2549" s="11">
        <f xml:space="preserve">     47950</f>
        <v>47950</v>
      </c>
      <c r="D2549" s="13"/>
      <c r="E2549" s="18"/>
      <c r="F2549" s="18"/>
      <c r="G2549" s="8">
        <f t="shared" si="43"/>
        <v>0</v>
      </c>
    </row>
    <row r="2550" spans="1:7" ht="15" customHeight="1">
      <c r="A2550" s="6">
        <v>2546</v>
      </c>
      <c r="B2550" s="11" t="s">
        <v>2419</v>
      </c>
      <c r="C2550" s="11">
        <f xml:space="preserve">     71100</f>
        <v>71100</v>
      </c>
      <c r="D2550" s="13"/>
      <c r="E2550" s="18"/>
      <c r="F2550" s="18"/>
      <c r="G2550" s="8">
        <f t="shared" si="43"/>
        <v>0</v>
      </c>
    </row>
    <row r="2551" spans="1:7" ht="15" customHeight="1">
      <c r="A2551" s="6">
        <v>2547</v>
      </c>
      <c r="B2551" s="11" t="s">
        <v>2420</v>
      </c>
      <c r="C2551" s="11">
        <f xml:space="preserve">      6600</f>
        <v>6600</v>
      </c>
      <c r="D2551" s="13"/>
      <c r="E2551" s="18"/>
      <c r="F2551" s="18"/>
      <c r="G2551" s="8">
        <f t="shared" si="43"/>
        <v>0</v>
      </c>
    </row>
    <row r="2552" spans="1:7" ht="15" customHeight="1">
      <c r="A2552" s="6">
        <v>2548</v>
      </c>
      <c r="B2552" s="11" t="s">
        <v>2421</v>
      </c>
      <c r="C2552" s="11">
        <f xml:space="preserve">     13250</f>
        <v>13250</v>
      </c>
      <c r="D2552" s="13"/>
      <c r="E2552" s="18"/>
      <c r="F2552" s="18"/>
      <c r="G2552" s="8">
        <f t="shared" si="43"/>
        <v>0</v>
      </c>
    </row>
    <row r="2553" spans="1:7" ht="15" customHeight="1">
      <c r="A2553" s="6">
        <v>2549</v>
      </c>
      <c r="B2553" s="11" t="s">
        <v>2422</v>
      </c>
      <c r="C2553" s="11">
        <f xml:space="preserve">     44200</f>
        <v>44200</v>
      </c>
      <c r="D2553" s="13"/>
      <c r="E2553" s="18"/>
      <c r="F2553" s="18"/>
      <c r="G2553" s="8">
        <f t="shared" si="43"/>
        <v>0</v>
      </c>
    </row>
    <row r="2554" spans="1:7" ht="15" customHeight="1">
      <c r="A2554" s="6">
        <v>2550</v>
      </c>
      <c r="B2554" s="11" t="s">
        <v>2423</v>
      </c>
      <c r="C2554" s="11">
        <f xml:space="preserve">      3780</f>
        <v>3780</v>
      </c>
      <c r="D2554" s="13"/>
      <c r="E2554" s="18"/>
      <c r="F2554" s="18"/>
      <c r="G2554" s="8">
        <f t="shared" si="43"/>
        <v>0</v>
      </c>
    </row>
    <row r="2555" spans="1:7" ht="15" customHeight="1">
      <c r="A2555" s="6">
        <v>2551</v>
      </c>
      <c r="B2555" s="11" t="s">
        <v>2424</v>
      </c>
      <c r="C2555" s="11">
        <f xml:space="preserve">     85550</f>
        <v>85550</v>
      </c>
      <c r="D2555" s="13"/>
      <c r="E2555" s="18"/>
      <c r="F2555" s="18"/>
      <c r="G2555" s="8">
        <f t="shared" si="43"/>
        <v>0</v>
      </c>
    </row>
    <row r="2556" spans="1:7" ht="15" customHeight="1">
      <c r="A2556" s="6">
        <v>2552</v>
      </c>
      <c r="B2556" s="11" t="s">
        <v>2425</v>
      </c>
      <c r="C2556" s="11">
        <f xml:space="preserve">      6150</f>
        <v>6150</v>
      </c>
      <c r="D2556" s="13"/>
      <c r="E2556" s="18"/>
      <c r="F2556" s="18"/>
      <c r="G2556" s="8">
        <f t="shared" si="43"/>
        <v>0</v>
      </c>
    </row>
    <row r="2557" spans="1:7" ht="15" customHeight="1">
      <c r="A2557" s="6">
        <v>2553</v>
      </c>
      <c r="B2557" s="11" t="s">
        <v>2426</v>
      </c>
      <c r="C2557" s="11">
        <f xml:space="preserve">     14600</f>
        <v>14600</v>
      </c>
      <c r="D2557" s="13"/>
      <c r="E2557" s="18"/>
      <c r="F2557" s="18"/>
      <c r="G2557" s="8">
        <f t="shared" si="43"/>
        <v>0</v>
      </c>
    </row>
    <row r="2558" spans="1:7" ht="15" customHeight="1">
      <c r="A2558" s="6">
        <v>2554</v>
      </c>
      <c r="B2558" s="11" t="s">
        <v>2427</v>
      </c>
      <c r="C2558" s="11">
        <f xml:space="preserve">      3050</f>
        <v>3050</v>
      </c>
      <c r="D2558" s="13"/>
      <c r="E2558" s="18"/>
      <c r="F2558" s="18"/>
      <c r="G2558" s="8">
        <f t="shared" si="43"/>
        <v>0</v>
      </c>
    </row>
    <row r="2559" spans="1:7" ht="15" customHeight="1">
      <c r="A2559" s="6">
        <v>2555</v>
      </c>
      <c r="B2559" s="11" t="s">
        <v>2428</v>
      </c>
      <c r="C2559" s="11">
        <f xml:space="preserve">      3850</f>
        <v>3850</v>
      </c>
      <c r="D2559" s="13"/>
      <c r="E2559" s="18"/>
      <c r="F2559" s="18"/>
      <c r="G2559" s="8">
        <f t="shared" si="43"/>
        <v>0</v>
      </c>
    </row>
    <row r="2560" spans="1:7" ht="15" customHeight="1">
      <c r="A2560" s="6">
        <v>2556</v>
      </c>
      <c r="B2560" s="11" t="s">
        <v>2429</v>
      </c>
      <c r="C2560" s="11">
        <f xml:space="preserve">      5100</f>
        <v>5100</v>
      </c>
      <c r="D2560" s="13"/>
      <c r="E2560" s="18"/>
      <c r="F2560" s="18"/>
      <c r="G2560" s="8">
        <f t="shared" si="43"/>
        <v>0</v>
      </c>
    </row>
    <row r="2561" spans="1:7" ht="15" customHeight="1">
      <c r="A2561" s="6">
        <v>2557</v>
      </c>
      <c r="B2561" s="11" t="s">
        <v>2430</v>
      </c>
      <c r="C2561" s="11">
        <f xml:space="preserve">     41100</f>
        <v>41100</v>
      </c>
      <c r="D2561" s="13"/>
      <c r="E2561" s="18"/>
      <c r="F2561" s="18"/>
      <c r="G2561" s="8">
        <f t="shared" si="43"/>
        <v>0</v>
      </c>
    </row>
    <row r="2562" spans="1:7" ht="15" customHeight="1">
      <c r="A2562" s="6">
        <v>2558</v>
      </c>
      <c r="B2562" s="11" t="s">
        <v>2431</v>
      </c>
      <c r="C2562" s="11">
        <f xml:space="preserve">     55600</f>
        <v>55600</v>
      </c>
      <c r="D2562" s="13"/>
      <c r="E2562" s="18"/>
      <c r="F2562" s="18"/>
      <c r="G2562" s="8">
        <f t="shared" si="43"/>
        <v>0</v>
      </c>
    </row>
    <row r="2563" spans="1:7" ht="15" customHeight="1">
      <c r="A2563" s="6">
        <v>2559</v>
      </c>
      <c r="B2563" s="11" t="s">
        <v>2432</v>
      </c>
      <c r="C2563" s="11">
        <f xml:space="preserve">     51800</f>
        <v>51800</v>
      </c>
      <c r="D2563" s="13"/>
      <c r="E2563" s="18"/>
      <c r="F2563" s="18"/>
      <c r="G2563" s="8">
        <f t="shared" si="43"/>
        <v>0</v>
      </c>
    </row>
    <row r="2564" spans="1:7" ht="15" customHeight="1">
      <c r="A2564" s="6">
        <v>2560</v>
      </c>
      <c r="B2564" s="11" t="s">
        <v>2433</v>
      </c>
      <c r="C2564" s="11">
        <f xml:space="preserve">     38200</f>
        <v>38200</v>
      </c>
      <c r="D2564" s="13"/>
      <c r="E2564" s="18"/>
      <c r="F2564" s="18"/>
      <c r="G2564" s="8">
        <f t="shared" si="43"/>
        <v>0</v>
      </c>
    </row>
    <row r="2565" spans="1:7" ht="15" customHeight="1">
      <c r="A2565" s="6">
        <v>2561</v>
      </c>
      <c r="B2565" s="11" t="s">
        <v>2489</v>
      </c>
      <c r="C2565" s="11">
        <f xml:space="preserve">     68600</f>
        <v>68600</v>
      </c>
      <c r="D2565" s="13"/>
      <c r="E2565" s="18"/>
      <c r="F2565" s="18"/>
      <c r="G2565" s="8">
        <f t="shared" si="43"/>
        <v>0</v>
      </c>
    </row>
    <row r="2566" spans="1:7" ht="15" customHeight="1">
      <c r="A2566" s="6">
        <v>2562</v>
      </c>
      <c r="B2566" s="11" t="s">
        <v>2490</v>
      </c>
      <c r="C2566" s="11">
        <f xml:space="preserve">    125900</f>
        <v>125900</v>
      </c>
      <c r="D2566" s="13"/>
      <c r="E2566" s="18"/>
      <c r="F2566" s="18"/>
      <c r="G2566" s="8">
        <f t="shared" si="43"/>
        <v>0</v>
      </c>
    </row>
    <row r="2567" spans="1:7" ht="15" customHeight="1">
      <c r="A2567" s="6">
        <v>2563</v>
      </c>
      <c r="B2567" s="11" t="s">
        <v>2434</v>
      </c>
      <c r="C2567" s="11">
        <f xml:space="preserve">     23750</f>
        <v>23750</v>
      </c>
      <c r="D2567" s="13"/>
      <c r="E2567" s="18"/>
      <c r="F2567" s="18"/>
      <c r="G2567" s="8">
        <f t="shared" si="43"/>
        <v>0</v>
      </c>
    </row>
    <row r="2568" spans="1:7" ht="15" customHeight="1">
      <c r="A2568" s="6">
        <v>2564</v>
      </c>
      <c r="B2568" s="11" t="s">
        <v>2435</v>
      </c>
      <c r="C2568" s="11">
        <f xml:space="preserve">     27400</f>
        <v>27400</v>
      </c>
      <c r="D2568" s="13"/>
      <c r="E2568" s="18"/>
      <c r="F2568" s="18"/>
      <c r="G2568" s="8">
        <f t="shared" si="43"/>
        <v>0</v>
      </c>
    </row>
    <row r="2569" spans="1:7" ht="15" customHeight="1">
      <c r="A2569" s="6">
        <v>2565</v>
      </c>
      <c r="B2569" s="11" t="s">
        <v>2436</v>
      </c>
      <c r="C2569" s="11">
        <f xml:space="preserve">     53400</f>
        <v>53400</v>
      </c>
      <c r="D2569" s="13"/>
      <c r="E2569" s="18"/>
      <c r="F2569" s="18"/>
      <c r="G2569" s="8">
        <f t="shared" si="43"/>
        <v>0</v>
      </c>
    </row>
    <row r="2570" spans="1:7" ht="15" customHeight="1">
      <c r="A2570" s="6">
        <v>2566</v>
      </c>
      <c r="B2570" s="11" t="s">
        <v>2437</v>
      </c>
      <c r="C2570" s="11">
        <f xml:space="preserve">    146100</f>
        <v>146100</v>
      </c>
      <c r="D2570" s="13"/>
      <c r="E2570" s="18"/>
      <c r="F2570" s="18"/>
      <c r="G2570" s="8">
        <f t="shared" si="43"/>
        <v>0</v>
      </c>
    </row>
    <row r="2571" spans="1:7" ht="15" customHeight="1">
      <c r="A2571" s="6">
        <v>2567</v>
      </c>
      <c r="B2571" s="11" t="s">
        <v>2438</v>
      </c>
      <c r="C2571" s="11">
        <f xml:space="preserve">    104500</f>
        <v>104500</v>
      </c>
      <c r="D2571" s="13"/>
      <c r="E2571" s="18"/>
      <c r="F2571" s="18"/>
      <c r="G2571" s="8">
        <f t="shared" si="43"/>
        <v>0</v>
      </c>
    </row>
    <row r="2572" spans="1:7" ht="15" customHeight="1">
      <c r="A2572" s="6">
        <v>2568</v>
      </c>
      <c r="B2572" s="11" t="s">
        <v>2438</v>
      </c>
      <c r="C2572" s="11">
        <f xml:space="preserve">    104500</f>
        <v>104500</v>
      </c>
      <c r="D2572" s="13"/>
      <c r="E2572" s="18"/>
      <c r="F2572" s="18"/>
      <c r="G2572" s="8">
        <f t="shared" si="43"/>
        <v>0</v>
      </c>
    </row>
    <row r="2573" spans="1:7" ht="15" customHeight="1">
      <c r="A2573" s="6">
        <v>2569</v>
      </c>
      <c r="B2573" s="11" t="s">
        <v>2439</v>
      </c>
      <c r="C2573" s="11">
        <f xml:space="preserve">    594050</f>
        <v>594050</v>
      </c>
      <c r="D2573" s="13"/>
      <c r="E2573" s="18"/>
      <c r="F2573" s="18"/>
      <c r="G2573" s="8">
        <f t="shared" si="43"/>
        <v>0</v>
      </c>
    </row>
    <row r="2574" spans="1:7" ht="15" customHeight="1">
      <c r="A2574" s="6">
        <v>2570</v>
      </c>
      <c r="B2574" s="11" t="s">
        <v>2440</v>
      </c>
      <c r="C2574" s="11">
        <f xml:space="preserve">     64300</f>
        <v>64300</v>
      </c>
      <c r="D2574" s="13"/>
      <c r="E2574" s="18"/>
      <c r="F2574" s="18"/>
      <c r="G2574" s="8">
        <f t="shared" si="43"/>
        <v>0</v>
      </c>
    </row>
    <row r="2575" spans="1:7" ht="15" customHeight="1">
      <c r="A2575" s="6">
        <v>2571</v>
      </c>
      <c r="B2575" s="11" t="s">
        <v>2441</v>
      </c>
      <c r="C2575" s="11">
        <f xml:space="preserve">     62350</f>
        <v>62350</v>
      </c>
      <c r="D2575" s="13"/>
      <c r="E2575" s="18"/>
      <c r="F2575" s="18"/>
      <c r="G2575" s="8">
        <f t="shared" si="43"/>
        <v>0</v>
      </c>
    </row>
    <row r="2576" spans="1:7" ht="15" customHeight="1">
      <c r="A2576" s="6">
        <v>2572</v>
      </c>
      <c r="B2576" s="11" t="s">
        <v>2442</v>
      </c>
      <c r="C2576" s="11">
        <f xml:space="preserve">     44500</f>
        <v>44500</v>
      </c>
      <c r="D2576" s="13"/>
      <c r="E2576" s="18"/>
      <c r="F2576" s="18"/>
      <c r="G2576" s="8">
        <f t="shared" si="43"/>
        <v>0</v>
      </c>
    </row>
    <row r="2577" spans="1:7" ht="15" customHeight="1">
      <c r="A2577" s="6">
        <v>2573</v>
      </c>
      <c r="B2577" s="11" t="s">
        <v>2443</v>
      </c>
      <c r="C2577" s="11">
        <f xml:space="preserve">     22700</f>
        <v>22700</v>
      </c>
      <c r="D2577" s="13"/>
      <c r="E2577" s="18"/>
      <c r="F2577" s="18"/>
      <c r="G2577" s="8">
        <f t="shared" si="43"/>
        <v>0</v>
      </c>
    </row>
    <row r="2578" spans="1:7" ht="15" customHeight="1">
      <c r="A2578" s="6">
        <v>2574</v>
      </c>
      <c r="B2578" s="11" t="s">
        <v>2444</v>
      </c>
      <c r="C2578" s="11">
        <f xml:space="preserve">     40350</f>
        <v>40350</v>
      </c>
      <c r="D2578" s="13"/>
      <c r="E2578" s="18"/>
      <c r="F2578" s="18"/>
      <c r="G2578" s="8">
        <f t="shared" si="43"/>
        <v>0</v>
      </c>
    </row>
    <row r="2579" spans="1:7" ht="15" customHeight="1">
      <c r="A2579" s="6">
        <v>2575</v>
      </c>
      <c r="B2579" s="11" t="s">
        <v>2445</v>
      </c>
      <c r="C2579" s="11">
        <f xml:space="preserve">     54650</f>
        <v>54650</v>
      </c>
      <c r="D2579" s="13"/>
      <c r="E2579" s="18"/>
      <c r="F2579" s="18"/>
      <c r="G2579" s="8">
        <f t="shared" si="43"/>
        <v>0</v>
      </c>
    </row>
    <row r="2580" spans="1:7" ht="15" customHeight="1">
      <c r="A2580" s="6">
        <v>2576</v>
      </c>
      <c r="B2580" s="11" t="s">
        <v>2446</v>
      </c>
      <c r="C2580" s="11">
        <f xml:space="preserve">     28850</f>
        <v>28850</v>
      </c>
      <c r="D2580" s="13"/>
      <c r="E2580" s="18"/>
      <c r="F2580" s="18"/>
      <c r="G2580" s="8">
        <f t="shared" si="43"/>
        <v>0</v>
      </c>
    </row>
    <row r="2581" spans="1:7" ht="15" customHeight="1">
      <c r="A2581" s="6">
        <v>2577</v>
      </c>
      <c r="B2581" s="11" t="s">
        <v>2447</v>
      </c>
      <c r="C2581" s="11">
        <f xml:space="preserve">     32200</f>
        <v>32200</v>
      </c>
      <c r="D2581" s="13"/>
      <c r="E2581" s="18"/>
      <c r="F2581" s="18"/>
      <c r="G2581" s="8">
        <f t="shared" si="43"/>
        <v>0</v>
      </c>
    </row>
    <row r="2582" spans="1:7" ht="15" customHeight="1">
      <c r="A2582" s="6">
        <v>2578</v>
      </c>
      <c r="B2582" s="11" t="s">
        <v>2448</v>
      </c>
      <c r="C2582" s="11">
        <f xml:space="preserve">     33250</f>
        <v>33250</v>
      </c>
      <c r="D2582" s="13"/>
      <c r="E2582" s="18"/>
      <c r="F2582" s="18"/>
      <c r="G2582" s="8">
        <f t="shared" si="43"/>
        <v>0</v>
      </c>
    </row>
    <row r="2583" spans="1:7" ht="15" customHeight="1">
      <c r="A2583" s="6">
        <v>2579</v>
      </c>
      <c r="B2583" s="11" t="s">
        <v>2449</v>
      </c>
      <c r="C2583" s="11">
        <f xml:space="preserve">     26850</f>
        <v>26850</v>
      </c>
      <c r="D2583" s="13"/>
      <c r="E2583" s="18"/>
      <c r="F2583" s="18"/>
      <c r="G2583" s="8">
        <f t="shared" si="43"/>
        <v>0</v>
      </c>
    </row>
    <row r="2584" spans="1:7" ht="15" customHeight="1">
      <c r="A2584" s="6">
        <v>2580</v>
      </c>
      <c r="B2584" s="11" t="s">
        <v>2450</v>
      </c>
      <c r="C2584" s="11">
        <f xml:space="preserve">     41450</f>
        <v>41450</v>
      </c>
      <c r="D2584" s="13"/>
      <c r="E2584" s="18"/>
      <c r="F2584" s="18"/>
      <c r="G2584" s="8">
        <f t="shared" si="43"/>
        <v>0</v>
      </c>
    </row>
    <row r="2585" spans="1:7" ht="15" customHeight="1">
      <c r="A2585" s="6">
        <v>2581</v>
      </c>
      <c r="B2585" s="11" t="s">
        <v>2451</v>
      </c>
      <c r="C2585" s="11">
        <f xml:space="preserve">     16650</f>
        <v>16650</v>
      </c>
      <c r="D2585" s="13"/>
      <c r="E2585" s="18"/>
      <c r="F2585" s="18"/>
      <c r="G2585" s="8">
        <f t="shared" si="43"/>
        <v>0</v>
      </c>
    </row>
    <row r="2586" spans="1:7" ht="15" customHeight="1">
      <c r="A2586" s="6">
        <v>2582</v>
      </c>
      <c r="B2586" s="11" t="s">
        <v>2452</v>
      </c>
      <c r="C2586" s="11">
        <f xml:space="preserve">     55750</f>
        <v>55750</v>
      </c>
      <c r="D2586" s="13"/>
      <c r="E2586" s="18"/>
      <c r="F2586" s="18"/>
      <c r="G2586" s="8">
        <f t="shared" si="43"/>
        <v>0</v>
      </c>
    </row>
    <row r="2587" spans="1:7" ht="15" customHeight="1">
      <c r="A2587" s="6">
        <v>2583</v>
      </c>
      <c r="B2587" s="11" t="s">
        <v>2453</v>
      </c>
      <c r="C2587" s="11">
        <f xml:space="preserve">    106350</f>
        <v>106350</v>
      </c>
      <c r="D2587" s="13"/>
      <c r="E2587" s="18"/>
      <c r="F2587" s="18"/>
      <c r="G2587" s="8">
        <f t="shared" si="43"/>
        <v>0</v>
      </c>
    </row>
    <row r="2588" spans="1:7" ht="15" customHeight="1">
      <c r="A2588"/>
      <c r="C2588"/>
      <c r="D2588"/>
      <c r="E2588"/>
      <c r="F2588"/>
      <c r="G2588"/>
    </row>
    <row r="2589" spans="1:7" ht="15" customHeight="1">
      <c r="A2589"/>
      <c r="C2589"/>
      <c r="D2589"/>
      <c r="E2589"/>
      <c r="F2589"/>
      <c r="G2589"/>
    </row>
    <row r="2590" spans="1:7" ht="15" customHeight="1">
      <c r="A2590"/>
      <c r="C2590"/>
      <c r="D2590"/>
      <c r="E2590"/>
      <c r="F2590"/>
      <c r="G2590"/>
    </row>
    <row r="2591" spans="1:7" ht="15" customHeight="1">
      <c r="A2591"/>
      <c r="C2591"/>
      <c r="D2591"/>
      <c r="E2591"/>
      <c r="F2591"/>
      <c r="G2591"/>
    </row>
    <row r="2592" spans="1:7" ht="15" customHeight="1">
      <c r="A2592"/>
      <c r="C2592"/>
      <c r="D2592"/>
      <c r="E2592"/>
      <c r="F2592"/>
      <c r="G2592"/>
    </row>
    <row r="2593" spans="1:7" ht="15" customHeight="1">
      <c r="A2593"/>
      <c r="C2593"/>
      <c r="D2593"/>
      <c r="E2593"/>
      <c r="F2593"/>
      <c r="G2593"/>
    </row>
    <row r="2594" spans="1:7" ht="15" customHeight="1">
      <c r="A2594"/>
      <c r="C2594"/>
      <c r="D2594"/>
      <c r="E2594"/>
      <c r="F2594"/>
      <c r="G2594"/>
    </row>
    <row r="2595" spans="1:7" ht="15" customHeight="1">
      <c r="A2595"/>
      <c r="C2595"/>
      <c r="D2595"/>
      <c r="E2595"/>
      <c r="F2595"/>
      <c r="G2595"/>
    </row>
    <row r="2596" spans="1:7" ht="15" customHeight="1">
      <c r="A2596"/>
      <c r="C2596"/>
      <c r="D2596"/>
      <c r="E2596"/>
      <c r="F2596"/>
      <c r="G2596"/>
    </row>
    <row r="2597" spans="1:7" ht="15" customHeight="1">
      <c r="A2597"/>
      <c r="C2597"/>
      <c r="D2597"/>
      <c r="E2597"/>
      <c r="F2597"/>
      <c r="G2597"/>
    </row>
    <row r="2598" spans="1:7" ht="15" customHeight="1">
      <c r="A2598"/>
      <c r="C2598"/>
      <c r="D2598"/>
      <c r="E2598"/>
      <c r="F2598"/>
      <c r="G2598"/>
    </row>
    <row r="2599" spans="1:7" ht="15" customHeight="1">
      <c r="A2599"/>
      <c r="C2599"/>
      <c r="D2599"/>
      <c r="E2599"/>
      <c r="F2599"/>
      <c r="G2599"/>
    </row>
    <row r="2600" spans="1:7" ht="15" customHeight="1">
      <c r="A2600"/>
      <c r="C2600"/>
      <c r="D2600"/>
      <c r="E2600"/>
      <c r="F2600"/>
      <c r="G2600"/>
    </row>
    <row r="2601" spans="1:7" ht="15" customHeight="1">
      <c r="A2601"/>
      <c r="C2601"/>
      <c r="D2601"/>
      <c r="E2601"/>
      <c r="F2601"/>
      <c r="G2601"/>
    </row>
    <row r="2602" spans="1:7" ht="15" customHeight="1">
      <c r="A2602"/>
      <c r="C2602"/>
      <c r="D2602"/>
      <c r="E2602"/>
      <c r="F2602"/>
      <c r="G2602"/>
    </row>
    <row r="2603" spans="1:7" ht="15" customHeight="1">
      <c r="A2603"/>
      <c r="C2603"/>
      <c r="D2603"/>
      <c r="E2603"/>
      <c r="F2603"/>
      <c r="G2603"/>
    </row>
    <row r="2604" spans="1:7" ht="15" customHeight="1">
      <c r="A2604"/>
      <c r="C2604"/>
      <c r="D2604"/>
      <c r="E2604"/>
      <c r="F2604"/>
      <c r="G2604"/>
    </row>
    <row r="2605" spans="1:7" ht="15" customHeight="1">
      <c r="A2605"/>
      <c r="C2605"/>
      <c r="D2605"/>
      <c r="E2605"/>
      <c r="F2605"/>
      <c r="G2605"/>
    </row>
    <row r="2606" spans="1:7" ht="15" customHeight="1">
      <c r="A2606"/>
      <c r="C2606"/>
      <c r="D2606"/>
      <c r="E2606"/>
      <c r="F2606"/>
      <c r="G2606"/>
    </row>
    <row r="2607" spans="1:7" ht="15" customHeight="1">
      <c r="A2607"/>
      <c r="C2607"/>
      <c r="D2607"/>
      <c r="E2607"/>
      <c r="F2607"/>
      <c r="G2607"/>
    </row>
    <row r="2608" spans="1:7" ht="15" customHeight="1">
      <c r="A2608"/>
      <c r="C2608"/>
      <c r="D2608"/>
      <c r="E2608"/>
      <c r="F2608"/>
      <c r="G2608"/>
    </row>
    <row r="2609" spans="1:7" ht="15" customHeight="1">
      <c r="A2609"/>
      <c r="C2609"/>
      <c r="D2609"/>
      <c r="E2609"/>
      <c r="F2609"/>
      <c r="G2609"/>
    </row>
    <row r="2610" spans="1:7" ht="15" customHeight="1">
      <c r="A2610"/>
      <c r="C2610"/>
      <c r="D2610"/>
      <c r="E2610"/>
      <c r="F2610"/>
      <c r="G2610"/>
    </row>
    <row r="2611" spans="1:7" ht="15" customHeight="1">
      <c r="A2611"/>
      <c r="C2611"/>
      <c r="D2611"/>
      <c r="E2611"/>
      <c r="F2611"/>
      <c r="G2611"/>
    </row>
    <row r="2612" spans="1:7" ht="15" customHeight="1">
      <c r="A2612"/>
      <c r="C2612"/>
      <c r="D2612"/>
      <c r="E2612"/>
      <c r="F2612"/>
      <c r="G2612"/>
    </row>
    <row r="2613" spans="1:7" ht="15" customHeight="1">
      <c r="A2613"/>
      <c r="C2613"/>
      <c r="D2613"/>
      <c r="E2613"/>
      <c r="F2613"/>
      <c r="G2613"/>
    </row>
    <row r="2614" spans="1:7" ht="15" customHeight="1">
      <c r="A2614"/>
      <c r="C2614"/>
      <c r="D2614"/>
      <c r="E2614"/>
      <c r="F2614"/>
      <c r="G2614"/>
    </row>
    <row r="2615" spans="1:7" ht="15" customHeight="1">
      <c r="A2615"/>
      <c r="C2615"/>
      <c r="D2615"/>
      <c r="E2615"/>
      <c r="F2615"/>
      <c r="G2615"/>
    </row>
    <row r="2616" spans="1:7" ht="15" customHeight="1">
      <c r="A2616"/>
      <c r="C2616"/>
      <c r="D2616"/>
      <c r="E2616"/>
      <c r="F2616"/>
      <c r="G2616"/>
    </row>
    <row r="2617" spans="1:7" ht="15" customHeight="1">
      <c r="A2617"/>
      <c r="C2617"/>
      <c r="D2617"/>
      <c r="E2617"/>
      <c r="F2617"/>
      <c r="G2617"/>
    </row>
    <row r="2618" spans="1:7" ht="15" customHeight="1">
      <c r="A2618"/>
      <c r="C2618"/>
      <c r="D2618"/>
      <c r="E2618"/>
      <c r="F2618"/>
      <c r="G2618"/>
    </row>
    <row r="2619" spans="1:7" ht="15" customHeight="1">
      <c r="A2619"/>
      <c r="C2619"/>
      <c r="D2619"/>
      <c r="E2619"/>
      <c r="F2619"/>
      <c r="G2619"/>
    </row>
    <row r="2620" spans="1:7" ht="15" customHeight="1">
      <c r="A2620"/>
      <c r="C2620"/>
      <c r="D2620"/>
      <c r="E2620"/>
      <c r="F2620"/>
      <c r="G2620"/>
    </row>
    <row r="2621" spans="1:7" ht="15" customHeight="1">
      <c r="A2621"/>
      <c r="C2621"/>
      <c r="D2621"/>
      <c r="E2621"/>
      <c r="F2621"/>
      <c r="G2621"/>
    </row>
    <row r="2622" spans="1:7" ht="15" customHeight="1">
      <c r="A2622"/>
      <c r="C2622"/>
      <c r="D2622"/>
      <c r="E2622"/>
      <c r="F2622"/>
      <c r="G2622"/>
    </row>
    <row r="2623" spans="1:7" ht="15" customHeight="1">
      <c r="A2623"/>
      <c r="C2623"/>
      <c r="D2623"/>
      <c r="E2623"/>
      <c r="F2623"/>
      <c r="G2623"/>
    </row>
    <row r="2624" spans="1:7" ht="15" customHeight="1">
      <c r="A2624"/>
      <c r="C2624"/>
      <c r="D2624"/>
      <c r="E2624"/>
      <c r="F2624"/>
      <c r="G2624"/>
    </row>
    <row r="2625" spans="1:7" ht="15" customHeight="1">
      <c r="A2625"/>
      <c r="C2625"/>
      <c r="D2625"/>
      <c r="E2625"/>
      <c r="F2625"/>
      <c r="G2625"/>
    </row>
    <row r="2626" spans="1:7" ht="15" customHeight="1">
      <c r="A2626"/>
      <c r="C2626"/>
      <c r="D2626"/>
      <c r="E2626"/>
      <c r="F2626"/>
      <c r="G2626"/>
    </row>
    <row r="2627" spans="1:7" ht="15" customHeight="1">
      <c r="A2627"/>
      <c r="C2627"/>
      <c r="D2627"/>
      <c r="E2627"/>
      <c r="F2627"/>
      <c r="G2627"/>
    </row>
    <row r="2628" spans="1:7" ht="15" customHeight="1">
      <c r="A2628"/>
      <c r="C2628"/>
      <c r="D2628"/>
      <c r="E2628"/>
      <c r="F2628"/>
      <c r="G2628"/>
    </row>
    <row r="2629" spans="1:7" ht="15" customHeight="1">
      <c r="A2629"/>
      <c r="C2629"/>
      <c r="D2629"/>
      <c r="E2629"/>
      <c r="F2629"/>
      <c r="G2629"/>
    </row>
    <row r="2630" spans="1:7" ht="15" customHeight="1">
      <c r="A2630"/>
      <c r="C2630"/>
      <c r="D2630"/>
      <c r="E2630"/>
      <c r="F2630"/>
      <c r="G2630"/>
    </row>
    <row r="2631" spans="1:7" ht="15" customHeight="1">
      <c r="A2631"/>
      <c r="C2631"/>
      <c r="D2631"/>
      <c r="E2631"/>
      <c r="F2631"/>
      <c r="G2631"/>
    </row>
    <row r="2632" spans="1:7" ht="15" customHeight="1">
      <c r="A2632"/>
      <c r="C2632"/>
      <c r="D2632"/>
      <c r="E2632"/>
      <c r="F2632"/>
      <c r="G2632"/>
    </row>
    <row r="2633" spans="1:7" ht="15" customHeight="1">
      <c r="A2633"/>
      <c r="C2633"/>
      <c r="D2633"/>
      <c r="E2633"/>
      <c r="F2633"/>
      <c r="G2633"/>
    </row>
    <row r="2634" spans="1:7" ht="15" customHeight="1">
      <c r="A2634"/>
      <c r="C2634"/>
      <c r="D2634"/>
      <c r="E2634"/>
      <c r="F2634"/>
      <c r="G2634"/>
    </row>
    <row r="2635" spans="1:7" ht="15" customHeight="1">
      <c r="A2635"/>
      <c r="C2635"/>
      <c r="D2635"/>
      <c r="E2635"/>
      <c r="F2635"/>
      <c r="G2635"/>
    </row>
    <row r="2636" spans="1:7" ht="15" customHeight="1">
      <c r="A2636"/>
      <c r="C2636"/>
      <c r="D2636"/>
      <c r="E2636"/>
      <c r="F2636"/>
      <c r="G2636"/>
    </row>
    <row r="2637" spans="1:7" ht="15" customHeight="1">
      <c r="A2637"/>
      <c r="C2637"/>
      <c r="D2637"/>
      <c r="E2637"/>
      <c r="F2637"/>
      <c r="G2637"/>
    </row>
    <row r="2638" spans="1:7" ht="15" customHeight="1">
      <c r="A2638"/>
      <c r="C2638"/>
      <c r="D2638"/>
      <c r="E2638"/>
      <c r="F2638"/>
      <c r="G2638"/>
    </row>
    <row r="2639" spans="1:7" ht="15" customHeight="1">
      <c r="A2639"/>
      <c r="C2639"/>
      <c r="D2639"/>
      <c r="E2639"/>
      <c r="F2639"/>
      <c r="G2639"/>
    </row>
    <row r="2640" spans="1:7" ht="15" customHeight="1">
      <c r="A2640"/>
      <c r="C2640"/>
      <c r="D2640"/>
      <c r="E2640"/>
      <c r="F2640"/>
      <c r="G2640"/>
    </row>
    <row r="2641" spans="1:7" ht="15" customHeight="1">
      <c r="A2641"/>
      <c r="C2641"/>
      <c r="D2641"/>
      <c r="E2641"/>
      <c r="F2641"/>
      <c r="G2641"/>
    </row>
    <row r="2642" spans="1:7" ht="15" customHeight="1">
      <c r="A2642"/>
      <c r="C2642"/>
      <c r="D2642"/>
      <c r="E2642"/>
      <c r="F2642"/>
      <c r="G2642"/>
    </row>
    <row r="2643" spans="1:7" ht="15" customHeight="1">
      <c r="A2643"/>
      <c r="C2643"/>
      <c r="D2643"/>
      <c r="E2643"/>
      <c r="F2643"/>
      <c r="G2643"/>
    </row>
    <row r="2644" spans="1:7" ht="15" customHeight="1">
      <c r="A2644"/>
      <c r="C2644"/>
      <c r="D2644"/>
      <c r="E2644"/>
      <c r="F2644"/>
      <c r="G2644"/>
    </row>
    <row r="2645" spans="1:7" ht="15" customHeight="1">
      <c r="A2645"/>
      <c r="C2645"/>
      <c r="D2645"/>
      <c r="E2645"/>
      <c r="F2645"/>
      <c r="G2645"/>
    </row>
    <row r="2646" spans="1:7" ht="15" customHeight="1">
      <c r="A2646"/>
      <c r="C2646"/>
      <c r="D2646"/>
      <c r="E2646"/>
      <c r="F2646"/>
      <c r="G2646"/>
    </row>
    <row r="2647" spans="1:7" ht="15" customHeight="1">
      <c r="A2647"/>
      <c r="C2647"/>
      <c r="D2647"/>
      <c r="E2647"/>
      <c r="F2647"/>
      <c r="G2647"/>
    </row>
    <row r="2648" spans="1:7" ht="15" customHeight="1">
      <c r="A2648"/>
      <c r="C2648"/>
      <c r="D2648"/>
      <c r="E2648"/>
      <c r="F2648"/>
      <c r="G2648"/>
    </row>
    <row r="2649" spans="1:7" ht="15" customHeight="1">
      <c r="A2649"/>
      <c r="C2649"/>
      <c r="D2649"/>
      <c r="E2649"/>
      <c r="F2649"/>
      <c r="G2649"/>
    </row>
    <row r="2650" spans="1:7" ht="15" customHeight="1">
      <c r="A2650"/>
      <c r="C2650"/>
      <c r="D2650"/>
      <c r="E2650"/>
      <c r="F2650"/>
      <c r="G2650"/>
    </row>
    <row r="2651" spans="1:7" ht="15" customHeight="1">
      <c r="A2651"/>
      <c r="C2651"/>
      <c r="D2651"/>
      <c r="E2651"/>
      <c r="F2651"/>
      <c r="G2651"/>
    </row>
    <row r="2652" spans="1:7" ht="15" customHeight="1">
      <c r="A2652"/>
      <c r="C2652"/>
      <c r="D2652"/>
      <c r="E2652"/>
      <c r="F2652"/>
      <c r="G2652"/>
    </row>
    <row r="2653" spans="1:7" ht="15" customHeight="1">
      <c r="A2653"/>
      <c r="C2653"/>
      <c r="D2653"/>
      <c r="E2653"/>
      <c r="F2653"/>
      <c r="G2653"/>
    </row>
    <row r="2654" spans="1:7" ht="15" customHeight="1">
      <c r="A2654"/>
      <c r="C2654"/>
      <c r="D2654"/>
      <c r="E2654"/>
      <c r="F2654"/>
      <c r="G2654"/>
    </row>
    <row r="2655" spans="1:7" ht="15" customHeight="1">
      <c r="A2655"/>
      <c r="C2655"/>
      <c r="D2655"/>
      <c r="E2655"/>
      <c r="F2655"/>
      <c r="G2655"/>
    </row>
    <row r="2656" spans="1:7" ht="15" customHeight="1">
      <c r="A2656"/>
      <c r="C2656"/>
      <c r="D2656"/>
      <c r="E2656"/>
      <c r="F2656"/>
      <c r="G2656"/>
    </row>
    <row r="2657" spans="1:7" ht="15" customHeight="1">
      <c r="A2657"/>
      <c r="C2657"/>
      <c r="D2657"/>
      <c r="E2657"/>
      <c r="F2657"/>
      <c r="G2657"/>
    </row>
    <row r="2658" spans="1:7" ht="15" customHeight="1">
      <c r="A2658"/>
      <c r="C2658"/>
      <c r="D2658"/>
      <c r="E2658"/>
      <c r="F2658"/>
      <c r="G2658"/>
    </row>
    <row r="2659" spans="1:7" ht="15" customHeight="1">
      <c r="A2659"/>
      <c r="C2659"/>
      <c r="D2659"/>
      <c r="E2659"/>
      <c r="F2659"/>
      <c r="G2659"/>
    </row>
    <row r="2660" spans="1:7" ht="15" customHeight="1">
      <c r="A2660"/>
      <c r="C2660"/>
      <c r="D2660"/>
      <c r="E2660"/>
      <c r="F2660"/>
      <c r="G2660"/>
    </row>
    <row r="2661" spans="1:7" ht="15" customHeight="1">
      <c r="A2661"/>
      <c r="C2661"/>
      <c r="D2661"/>
      <c r="E2661"/>
      <c r="F2661"/>
      <c r="G2661"/>
    </row>
    <row r="2662" spans="1:7" ht="15" customHeight="1">
      <c r="A2662"/>
      <c r="C2662"/>
      <c r="D2662"/>
      <c r="E2662"/>
      <c r="F2662"/>
      <c r="G2662"/>
    </row>
    <row r="2663" spans="1:7" ht="15" customHeight="1">
      <c r="A2663"/>
      <c r="C2663"/>
      <c r="D2663"/>
      <c r="E2663"/>
      <c r="F2663"/>
      <c r="G2663"/>
    </row>
    <row r="2664" spans="1:7" ht="15" customHeight="1">
      <c r="A2664"/>
      <c r="C2664"/>
      <c r="D2664"/>
      <c r="E2664"/>
      <c r="F2664"/>
      <c r="G2664"/>
    </row>
    <row r="2665" spans="1:7" ht="15" customHeight="1">
      <c r="A2665"/>
      <c r="C2665"/>
      <c r="D2665"/>
      <c r="E2665"/>
      <c r="F2665"/>
      <c r="G2665"/>
    </row>
    <row r="2666" spans="1:7" ht="15" customHeight="1">
      <c r="A2666"/>
      <c r="C2666"/>
      <c r="D2666"/>
      <c r="E2666"/>
      <c r="F2666"/>
      <c r="G2666"/>
    </row>
    <row r="2667" spans="1:7" ht="15" customHeight="1">
      <c r="A2667"/>
      <c r="C2667"/>
      <c r="D2667"/>
      <c r="E2667"/>
      <c r="F2667"/>
      <c r="G2667"/>
    </row>
    <row r="2668" spans="1:7" ht="15" customHeight="1">
      <c r="A2668"/>
      <c r="C2668"/>
      <c r="D2668"/>
      <c r="E2668"/>
      <c r="F2668"/>
      <c r="G2668"/>
    </row>
    <row r="2669" spans="1:7" ht="15" customHeight="1">
      <c r="A2669"/>
      <c r="C2669"/>
      <c r="D2669"/>
      <c r="E2669"/>
      <c r="F2669"/>
      <c r="G2669"/>
    </row>
    <row r="2670" spans="1:7" ht="15" customHeight="1">
      <c r="A2670"/>
      <c r="C2670"/>
      <c r="D2670"/>
      <c r="E2670"/>
      <c r="F2670"/>
      <c r="G2670"/>
    </row>
    <row r="2671" spans="1:7" ht="15" customHeight="1">
      <c r="A2671"/>
      <c r="C2671"/>
      <c r="D2671"/>
      <c r="E2671"/>
      <c r="F2671"/>
      <c r="G2671"/>
    </row>
    <row r="2672" spans="1:7" ht="15" customHeight="1">
      <c r="A2672"/>
      <c r="C2672"/>
      <c r="D2672"/>
      <c r="E2672"/>
      <c r="F2672"/>
      <c r="G2672"/>
    </row>
    <row r="2673" spans="1:7" ht="15" customHeight="1">
      <c r="A2673"/>
      <c r="C2673"/>
      <c r="D2673"/>
      <c r="E2673"/>
      <c r="F2673"/>
      <c r="G2673"/>
    </row>
    <row r="2674" spans="1:7" ht="15" customHeight="1">
      <c r="A2674"/>
      <c r="C2674"/>
      <c r="D2674"/>
      <c r="E2674"/>
      <c r="F2674"/>
      <c r="G2674"/>
    </row>
    <row r="2675" spans="1:7" ht="15" customHeight="1">
      <c r="A2675"/>
      <c r="C2675"/>
      <c r="D2675"/>
      <c r="E2675"/>
      <c r="F2675"/>
      <c r="G2675"/>
    </row>
    <row r="2676" spans="1:7" ht="15" customHeight="1">
      <c r="A2676"/>
      <c r="C2676"/>
      <c r="D2676"/>
      <c r="E2676"/>
      <c r="F2676"/>
      <c r="G2676"/>
    </row>
    <row r="2677" spans="1:7" ht="15" customHeight="1">
      <c r="A2677"/>
      <c r="C2677"/>
      <c r="D2677"/>
      <c r="E2677"/>
      <c r="F2677"/>
      <c r="G2677"/>
    </row>
    <row r="2678" spans="1:7" ht="15" customHeight="1">
      <c r="A2678"/>
      <c r="C2678"/>
      <c r="D2678"/>
      <c r="E2678"/>
      <c r="F2678"/>
      <c r="G2678"/>
    </row>
    <row r="2679" spans="1:7" ht="15" customHeight="1">
      <c r="A2679"/>
      <c r="C2679"/>
      <c r="D2679"/>
      <c r="E2679"/>
      <c r="F2679"/>
      <c r="G2679"/>
    </row>
    <row r="2680" spans="1:7" ht="15" customHeight="1">
      <c r="A2680"/>
      <c r="C2680"/>
      <c r="D2680"/>
      <c r="E2680"/>
      <c r="F2680"/>
      <c r="G2680"/>
    </row>
    <row r="2681" spans="1:7" ht="15" customHeight="1">
      <c r="A2681"/>
      <c r="C2681"/>
      <c r="D2681"/>
      <c r="E2681"/>
      <c r="F2681"/>
      <c r="G2681"/>
    </row>
    <row r="2682" spans="1:7" ht="15" customHeight="1">
      <c r="A2682"/>
      <c r="C2682"/>
      <c r="D2682"/>
      <c r="E2682"/>
      <c r="F2682"/>
      <c r="G2682"/>
    </row>
    <row r="2683" spans="1:7" ht="15" customHeight="1">
      <c r="A2683"/>
      <c r="C2683"/>
      <c r="D2683"/>
      <c r="E2683"/>
      <c r="F2683"/>
      <c r="G2683"/>
    </row>
    <row r="2684" spans="1:7" ht="15" customHeight="1">
      <c r="A2684"/>
      <c r="C2684"/>
      <c r="D2684"/>
      <c r="E2684"/>
      <c r="F2684"/>
      <c r="G2684"/>
    </row>
    <row r="2685" spans="1:7" ht="15" customHeight="1">
      <c r="A2685"/>
      <c r="C2685"/>
      <c r="D2685"/>
      <c r="E2685"/>
      <c r="F2685"/>
      <c r="G2685"/>
    </row>
    <row r="2686" spans="1:7" ht="15" customHeight="1">
      <c r="A2686"/>
      <c r="C2686"/>
      <c r="D2686"/>
      <c r="E2686"/>
      <c r="F2686"/>
      <c r="G2686"/>
    </row>
    <row r="2687" spans="1:7" ht="15" customHeight="1">
      <c r="A2687"/>
      <c r="C2687"/>
      <c r="D2687"/>
      <c r="E2687"/>
      <c r="F2687"/>
      <c r="G2687"/>
    </row>
    <row r="2688" spans="1:7" ht="15" customHeight="1">
      <c r="A2688"/>
      <c r="C2688"/>
      <c r="D2688"/>
      <c r="E2688"/>
      <c r="F2688"/>
      <c r="G2688"/>
    </row>
    <row r="2689" spans="1:7" ht="15" customHeight="1">
      <c r="A2689"/>
      <c r="C2689"/>
      <c r="D2689"/>
      <c r="E2689"/>
      <c r="F2689"/>
      <c r="G2689"/>
    </row>
    <row r="2690" spans="1:7" ht="15" customHeight="1">
      <c r="A2690"/>
      <c r="C2690"/>
      <c r="D2690"/>
      <c r="E2690"/>
      <c r="F2690"/>
      <c r="G2690"/>
    </row>
    <row r="2691" spans="1:7" ht="15" customHeight="1">
      <c r="A2691"/>
      <c r="C2691"/>
      <c r="D2691"/>
      <c r="E2691"/>
      <c r="F2691"/>
      <c r="G2691"/>
    </row>
    <row r="2692" spans="1:7" ht="15" customHeight="1">
      <c r="A2692"/>
      <c r="C2692"/>
      <c r="D2692"/>
      <c r="E2692"/>
      <c r="F2692"/>
      <c r="G2692"/>
    </row>
    <row r="2693" spans="1:7" ht="15" customHeight="1">
      <c r="A2693"/>
      <c r="C2693"/>
      <c r="D2693"/>
      <c r="E2693"/>
      <c r="F2693"/>
      <c r="G2693"/>
    </row>
    <row r="2694" spans="1:7" ht="15" customHeight="1">
      <c r="A2694"/>
      <c r="C2694"/>
      <c r="D2694"/>
      <c r="E2694"/>
      <c r="F2694"/>
      <c r="G2694"/>
    </row>
    <row r="2695" spans="1:7" ht="15" customHeight="1">
      <c r="A2695"/>
      <c r="C2695"/>
      <c r="D2695"/>
      <c r="E2695"/>
      <c r="F2695"/>
      <c r="G2695"/>
    </row>
    <row r="2696" spans="1:7" ht="15" customHeight="1">
      <c r="A2696"/>
      <c r="C2696"/>
      <c r="D2696"/>
      <c r="E2696"/>
      <c r="F2696"/>
      <c r="G2696"/>
    </row>
    <row r="2697" spans="1:7" ht="15" customHeight="1">
      <c r="A2697"/>
      <c r="C2697"/>
      <c r="D2697"/>
      <c r="E2697"/>
      <c r="F2697"/>
      <c r="G2697"/>
    </row>
    <row r="2698" spans="1:7" ht="15" customHeight="1">
      <c r="A2698"/>
      <c r="C2698"/>
      <c r="D2698"/>
      <c r="E2698"/>
      <c r="F2698"/>
      <c r="G2698"/>
    </row>
    <row r="2699" spans="1:7" ht="15" customHeight="1">
      <c r="A2699"/>
      <c r="C2699"/>
      <c r="D2699"/>
      <c r="E2699"/>
      <c r="F2699"/>
      <c r="G2699"/>
    </row>
    <row r="2700" spans="1:7" ht="15" customHeight="1">
      <c r="A2700"/>
      <c r="C2700"/>
      <c r="D2700"/>
      <c r="E2700"/>
      <c r="F2700"/>
      <c r="G2700"/>
    </row>
    <row r="2701" spans="1:7" ht="15" customHeight="1">
      <c r="A2701"/>
      <c r="C2701"/>
      <c r="D2701"/>
      <c r="E2701"/>
      <c r="F2701"/>
      <c r="G2701"/>
    </row>
    <row r="2702" spans="1:7" ht="15" customHeight="1">
      <c r="A2702"/>
      <c r="C2702"/>
      <c r="D2702"/>
      <c r="E2702"/>
      <c r="F2702"/>
      <c r="G2702"/>
    </row>
    <row r="2703" spans="1:7" ht="15" customHeight="1">
      <c r="A2703"/>
      <c r="C2703"/>
      <c r="D2703"/>
      <c r="E2703"/>
      <c r="F2703"/>
      <c r="G2703"/>
    </row>
    <row r="2704" spans="1:7" ht="15" customHeight="1">
      <c r="A2704"/>
      <c r="C2704"/>
      <c r="D2704"/>
      <c r="E2704"/>
      <c r="F2704"/>
      <c r="G2704"/>
    </row>
    <row r="2705" spans="1:7" ht="15" customHeight="1">
      <c r="A2705"/>
      <c r="C2705"/>
      <c r="D2705"/>
      <c r="E2705"/>
      <c r="F2705"/>
      <c r="G2705"/>
    </row>
    <row r="2706" spans="1:7" ht="15" customHeight="1">
      <c r="A2706"/>
      <c r="C2706"/>
      <c r="D2706"/>
      <c r="E2706"/>
      <c r="F2706"/>
      <c r="G2706"/>
    </row>
    <row r="2707" spans="1:7" ht="15" customHeight="1">
      <c r="A2707"/>
      <c r="C2707"/>
      <c r="D2707"/>
      <c r="E2707"/>
      <c r="F2707"/>
      <c r="G2707"/>
    </row>
    <row r="2708" spans="1:7" ht="15" customHeight="1">
      <c r="A2708"/>
      <c r="C2708"/>
      <c r="D2708"/>
      <c r="E2708"/>
      <c r="F2708"/>
      <c r="G2708"/>
    </row>
    <row r="2709" spans="1:7" ht="15" customHeight="1">
      <c r="A2709"/>
      <c r="C2709"/>
      <c r="D2709"/>
      <c r="E2709"/>
      <c r="F2709"/>
      <c r="G2709"/>
    </row>
    <row r="2710" spans="1:7" ht="15" customHeight="1">
      <c r="A2710"/>
      <c r="C2710"/>
      <c r="D2710"/>
      <c r="E2710"/>
      <c r="F2710"/>
      <c r="G2710"/>
    </row>
    <row r="2711" spans="1:7" ht="15" customHeight="1">
      <c r="A2711"/>
      <c r="C2711"/>
      <c r="D2711"/>
      <c r="E2711"/>
      <c r="F2711"/>
      <c r="G2711"/>
    </row>
    <row r="2712" spans="1:7" ht="15" customHeight="1">
      <c r="A2712"/>
      <c r="C2712"/>
      <c r="D2712"/>
      <c r="E2712"/>
      <c r="F2712"/>
      <c r="G2712"/>
    </row>
    <row r="2713" spans="1:7" ht="15" customHeight="1">
      <c r="A2713"/>
      <c r="C2713"/>
      <c r="D2713"/>
      <c r="E2713"/>
      <c r="F2713"/>
      <c r="G2713"/>
    </row>
    <row r="2714" spans="1:7" ht="15" customHeight="1">
      <c r="A2714"/>
      <c r="C2714"/>
      <c r="D2714"/>
      <c r="E2714"/>
      <c r="F2714"/>
      <c r="G2714"/>
    </row>
    <row r="2715" spans="1:7" ht="15" customHeight="1">
      <c r="A2715"/>
      <c r="C2715"/>
      <c r="D2715"/>
      <c r="E2715"/>
      <c r="F2715"/>
      <c r="G2715"/>
    </row>
    <row r="2716" spans="1:7" ht="15" customHeight="1">
      <c r="A2716"/>
      <c r="C2716"/>
      <c r="D2716"/>
      <c r="E2716"/>
      <c r="F2716"/>
      <c r="G2716"/>
    </row>
    <row r="2717" spans="1:7" ht="15" customHeight="1">
      <c r="A2717"/>
      <c r="C2717"/>
      <c r="D2717"/>
      <c r="E2717"/>
      <c r="F2717"/>
      <c r="G2717"/>
    </row>
    <row r="2718" spans="1:7" ht="15" customHeight="1">
      <c r="A2718"/>
      <c r="C2718"/>
      <c r="D2718"/>
      <c r="E2718"/>
      <c r="F2718"/>
      <c r="G2718"/>
    </row>
    <row r="2719" spans="1:7" ht="15" customHeight="1">
      <c r="A2719"/>
      <c r="C2719"/>
      <c r="D2719"/>
      <c r="E2719"/>
      <c r="F2719"/>
      <c r="G2719"/>
    </row>
    <row r="2720" spans="1:7" ht="15" customHeight="1">
      <c r="A2720"/>
      <c r="C2720"/>
      <c r="D2720"/>
      <c r="E2720"/>
      <c r="F2720"/>
      <c r="G2720"/>
    </row>
    <row r="2721" spans="1:7" ht="15" customHeight="1">
      <c r="A2721"/>
      <c r="C2721"/>
      <c r="D2721"/>
      <c r="E2721"/>
      <c r="F2721"/>
      <c r="G2721"/>
    </row>
    <row r="2722" spans="1:7" ht="15" customHeight="1">
      <c r="A2722"/>
      <c r="C2722"/>
      <c r="D2722"/>
      <c r="E2722"/>
      <c r="F2722"/>
      <c r="G2722"/>
    </row>
    <row r="2723" spans="1:7" ht="15" customHeight="1">
      <c r="A2723"/>
      <c r="C2723"/>
      <c r="D2723"/>
      <c r="E2723"/>
      <c r="F2723"/>
      <c r="G2723"/>
    </row>
    <row r="2724" spans="1:7" ht="15" customHeight="1">
      <c r="A2724"/>
      <c r="C2724"/>
      <c r="D2724"/>
      <c r="E2724"/>
      <c r="F2724"/>
      <c r="G2724"/>
    </row>
    <row r="2725" spans="1:7" ht="15" customHeight="1">
      <c r="A2725"/>
      <c r="C2725"/>
      <c r="D2725"/>
      <c r="E2725"/>
      <c r="F2725"/>
      <c r="G2725"/>
    </row>
    <row r="2726" spans="1:7" ht="15" customHeight="1">
      <c r="A2726"/>
      <c r="C2726"/>
      <c r="D2726"/>
      <c r="E2726"/>
      <c r="F2726"/>
      <c r="G2726"/>
    </row>
    <row r="2727" spans="1:7" ht="15" customHeight="1">
      <c r="A2727"/>
      <c r="C2727"/>
      <c r="D2727"/>
      <c r="E2727"/>
      <c r="F2727"/>
      <c r="G2727"/>
    </row>
    <row r="2728" spans="1:7" ht="15" customHeight="1">
      <c r="A2728"/>
      <c r="C2728"/>
      <c r="D2728"/>
      <c r="E2728"/>
      <c r="F2728"/>
      <c r="G2728"/>
    </row>
    <row r="2729" spans="1:7" ht="15" customHeight="1">
      <c r="A2729"/>
      <c r="C2729"/>
      <c r="D2729"/>
      <c r="E2729"/>
      <c r="F2729"/>
      <c r="G2729"/>
    </row>
    <row r="2730" spans="1:7" ht="15" customHeight="1">
      <c r="A2730"/>
      <c r="C2730"/>
      <c r="D2730"/>
      <c r="E2730"/>
      <c r="F2730"/>
      <c r="G2730"/>
    </row>
    <row r="2731" spans="1:7" ht="15" customHeight="1">
      <c r="A2731"/>
      <c r="C2731"/>
      <c r="D2731"/>
      <c r="E2731"/>
      <c r="F2731"/>
      <c r="G2731"/>
    </row>
    <row r="2732" spans="1:7" ht="15" customHeight="1">
      <c r="A2732"/>
      <c r="C2732"/>
      <c r="D2732"/>
      <c r="E2732"/>
      <c r="F2732"/>
      <c r="G2732"/>
    </row>
    <row r="2733" spans="1:7" ht="15" customHeight="1">
      <c r="A2733"/>
      <c r="C2733"/>
      <c r="D2733"/>
      <c r="E2733"/>
      <c r="F2733"/>
      <c r="G2733"/>
    </row>
    <row r="2734" spans="1:7" ht="15" customHeight="1">
      <c r="A2734"/>
      <c r="C2734"/>
      <c r="D2734"/>
      <c r="E2734"/>
      <c r="F2734"/>
      <c r="G2734"/>
    </row>
    <row r="2735" spans="1:7" ht="15" customHeight="1">
      <c r="A2735"/>
      <c r="C2735"/>
      <c r="D2735"/>
      <c r="E2735"/>
      <c r="F2735"/>
      <c r="G2735"/>
    </row>
    <row r="2736" spans="1:7" ht="15" customHeight="1">
      <c r="A2736"/>
      <c r="C2736"/>
      <c r="D2736"/>
      <c r="E2736"/>
      <c r="F2736"/>
      <c r="G2736"/>
    </row>
    <row r="2737" spans="1:7" ht="15" customHeight="1">
      <c r="A2737"/>
      <c r="C2737"/>
      <c r="D2737"/>
      <c r="E2737"/>
      <c r="F2737"/>
      <c r="G2737"/>
    </row>
    <row r="2738" spans="1:7" ht="15" customHeight="1">
      <c r="A2738"/>
      <c r="C2738"/>
      <c r="D2738"/>
      <c r="E2738"/>
      <c r="F2738"/>
      <c r="G2738"/>
    </row>
    <row r="2739" spans="1:7" ht="15" customHeight="1">
      <c r="A2739"/>
      <c r="C2739"/>
      <c r="D2739"/>
      <c r="E2739"/>
      <c r="F2739"/>
      <c r="G2739"/>
    </row>
    <row r="2740" spans="1:7" ht="15" customHeight="1">
      <c r="A2740"/>
      <c r="C2740"/>
      <c r="D2740"/>
      <c r="E2740"/>
      <c r="F2740"/>
      <c r="G2740"/>
    </row>
    <row r="2741" spans="1:7" ht="15" customHeight="1">
      <c r="A2741"/>
      <c r="C2741"/>
      <c r="D2741"/>
      <c r="E2741"/>
      <c r="F2741"/>
      <c r="G2741"/>
    </row>
    <row r="2742" spans="1:7" ht="15" customHeight="1">
      <c r="A2742"/>
      <c r="C2742"/>
      <c r="D2742"/>
      <c r="E2742"/>
      <c r="F2742"/>
      <c r="G2742"/>
    </row>
    <row r="2743" spans="1:7" ht="15" customHeight="1">
      <c r="A2743"/>
      <c r="C2743"/>
      <c r="D2743"/>
      <c r="E2743"/>
      <c r="F2743"/>
      <c r="G2743"/>
    </row>
    <row r="2744" spans="1:7" ht="15" customHeight="1">
      <c r="A2744"/>
      <c r="C2744"/>
      <c r="D2744"/>
      <c r="E2744"/>
      <c r="F2744"/>
      <c r="G2744"/>
    </row>
    <row r="2745" spans="1:7" ht="15" customHeight="1">
      <c r="A2745"/>
      <c r="C2745"/>
      <c r="D2745"/>
      <c r="E2745"/>
      <c r="F2745"/>
      <c r="G2745"/>
    </row>
    <row r="2746" spans="1:7" ht="15" customHeight="1">
      <c r="A2746"/>
      <c r="C2746"/>
      <c r="D2746"/>
      <c r="E2746"/>
      <c r="F2746"/>
      <c r="G2746"/>
    </row>
    <row r="2747" spans="1:7" ht="15" customHeight="1">
      <c r="A2747"/>
      <c r="C2747"/>
      <c r="D2747"/>
      <c r="E2747"/>
      <c r="F2747"/>
      <c r="G2747"/>
    </row>
    <row r="2748" spans="1:7" ht="15" customHeight="1">
      <c r="A2748"/>
      <c r="C2748"/>
      <c r="D2748"/>
      <c r="E2748"/>
      <c r="F2748"/>
      <c r="G2748"/>
    </row>
    <row r="2749" spans="1:7" ht="15" customHeight="1">
      <c r="A2749"/>
      <c r="C2749"/>
      <c r="D2749"/>
      <c r="E2749"/>
      <c r="F2749"/>
      <c r="G2749"/>
    </row>
    <row r="2750" spans="1:7" ht="15" customHeight="1">
      <c r="A2750"/>
      <c r="C2750"/>
      <c r="D2750"/>
      <c r="E2750"/>
      <c r="F2750"/>
      <c r="G2750"/>
    </row>
    <row r="2751" spans="1:7" ht="15" customHeight="1">
      <c r="A2751"/>
      <c r="C2751"/>
      <c r="D2751"/>
      <c r="E2751"/>
      <c r="F2751"/>
      <c r="G2751"/>
    </row>
    <row r="2752" spans="1:7" ht="15" customHeight="1">
      <c r="A2752"/>
      <c r="C2752"/>
      <c r="D2752"/>
      <c r="E2752"/>
      <c r="F2752"/>
      <c r="G2752"/>
    </row>
    <row r="2753" spans="1:7" ht="15" customHeight="1">
      <c r="A2753"/>
      <c r="C2753"/>
      <c r="D2753"/>
      <c r="E2753"/>
      <c r="F2753"/>
      <c r="G2753"/>
    </row>
    <row r="2754" spans="1:7" ht="15" customHeight="1">
      <c r="A2754"/>
      <c r="C2754"/>
      <c r="D2754"/>
      <c r="E2754"/>
      <c r="F2754"/>
      <c r="G2754"/>
    </row>
    <row r="2755" spans="1:7" ht="15" customHeight="1">
      <c r="A2755"/>
      <c r="C2755"/>
      <c r="D2755"/>
      <c r="E2755"/>
      <c r="F2755"/>
      <c r="G2755"/>
    </row>
    <row r="2756" spans="1:7" ht="15" customHeight="1">
      <c r="A2756"/>
      <c r="C2756"/>
      <c r="D2756"/>
      <c r="E2756"/>
      <c r="F2756"/>
      <c r="G2756"/>
    </row>
    <row r="2757" spans="1:7" ht="15" customHeight="1">
      <c r="A2757"/>
      <c r="C2757"/>
      <c r="D2757"/>
      <c r="E2757"/>
      <c r="F2757"/>
      <c r="G2757"/>
    </row>
    <row r="2758" spans="1:7" ht="15" customHeight="1">
      <c r="A2758"/>
      <c r="C2758"/>
      <c r="D2758"/>
      <c r="E2758"/>
      <c r="F2758"/>
      <c r="G2758"/>
    </row>
    <row r="2759" spans="1:7" ht="15" customHeight="1">
      <c r="A2759"/>
      <c r="C2759"/>
      <c r="D2759"/>
      <c r="E2759"/>
      <c r="F2759"/>
      <c r="G2759"/>
    </row>
    <row r="2760" spans="1:7" ht="15" customHeight="1">
      <c r="A2760"/>
      <c r="C2760"/>
      <c r="D2760"/>
      <c r="E2760"/>
      <c r="F2760"/>
      <c r="G2760"/>
    </row>
    <row r="2761" spans="1:7" ht="15" customHeight="1">
      <c r="A2761"/>
      <c r="C2761"/>
      <c r="D2761"/>
      <c r="E2761"/>
      <c r="F2761"/>
      <c r="G2761"/>
    </row>
    <row r="2762" spans="1:7" ht="15" customHeight="1">
      <c r="A2762"/>
      <c r="C2762"/>
      <c r="D2762"/>
      <c r="E2762"/>
      <c r="F2762"/>
      <c r="G2762"/>
    </row>
    <row r="2763" spans="1:7" ht="15" customHeight="1">
      <c r="A2763"/>
      <c r="C2763"/>
      <c r="D2763"/>
      <c r="E2763"/>
      <c r="F2763"/>
      <c r="G2763"/>
    </row>
    <row r="2764" spans="1:7" ht="15" customHeight="1">
      <c r="A2764"/>
      <c r="C2764"/>
      <c r="D2764"/>
      <c r="E2764"/>
      <c r="F2764"/>
      <c r="G2764"/>
    </row>
    <row r="2765" spans="1:7" ht="15" customHeight="1">
      <c r="A2765"/>
      <c r="C2765"/>
      <c r="D2765"/>
      <c r="E2765"/>
      <c r="F2765"/>
      <c r="G2765"/>
    </row>
    <row r="2766" spans="1:7" ht="15" customHeight="1">
      <c r="A2766"/>
      <c r="C2766"/>
      <c r="D2766"/>
      <c r="E2766"/>
      <c r="F2766"/>
      <c r="G2766"/>
    </row>
    <row r="2767" spans="1:7" ht="15" customHeight="1">
      <c r="A2767"/>
      <c r="C2767"/>
      <c r="D2767"/>
      <c r="E2767"/>
      <c r="F2767"/>
      <c r="G2767"/>
    </row>
    <row r="2768" spans="1:7" ht="15" customHeight="1">
      <c r="A2768"/>
      <c r="C2768"/>
      <c r="D2768"/>
      <c r="E2768"/>
      <c r="F2768"/>
      <c r="G2768"/>
    </row>
    <row r="2769" spans="1:7" ht="15" customHeight="1">
      <c r="A2769"/>
      <c r="C2769"/>
      <c r="D2769"/>
      <c r="E2769"/>
      <c r="F2769"/>
      <c r="G2769"/>
    </row>
    <row r="2770" spans="1:7" ht="15" customHeight="1">
      <c r="A2770"/>
      <c r="C2770"/>
      <c r="D2770"/>
      <c r="E2770"/>
      <c r="F2770"/>
      <c r="G2770"/>
    </row>
    <row r="2771" spans="1:7" ht="15" customHeight="1">
      <c r="A2771"/>
      <c r="C2771"/>
      <c r="D2771"/>
      <c r="E2771"/>
      <c r="F2771"/>
      <c r="G2771"/>
    </row>
    <row r="2772" spans="1:7" ht="15" customHeight="1">
      <c r="A2772"/>
      <c r="C2772"/>
      <c r="D2772"/>
      <c r="E2772"/>
      <c r="F2772"/>
      <c r="G2772"/>
    </row>
    <row r="2773" spans="1:7" ht="15" customHeight="1">
      <c r="A2773"/>
      <c r="C2773"/>
      <c r="D2773"/>
      <c r="E2773"/>
      <c r="F2773"/>
      <c r="G2773"/>
    </row>
    <row r="2774" spans="1:7" ht="15" customHeight="1">
      <c r="A2774"/>
      <c r="C2774"/>
      <c r="D2774"/>
      <c r="E2774"/>
      <c r="F2774"/>
      <c r="G2774"/>
    </row>
    <row r="2775" spans="1:7" ht="15" customHeight="1">
      <c r="A2775"/>
      <c r="C2775"/>
      <c r="D2775"/>
      <c r="E2775"/>
      <c r="F2775"/>
      <c r="G2775"/>
    </row>
    <row r="2776" spans="1:7" ht="15" customHeight="1">
      <c r="A2776"/>
      <c r="C2776"/>
      <c r="D2776"/>
      <c r="E2776"/>
      <c r="F2776"/>
      <c r="G2776"/>
    </row>
    <row r="2777" spans="1:7" ht="15" customHeight="1">
      <c r="A2777"/>
      <c r="C2777"/>
      <c r="D2777"/>
      <c r="E2777"/>
      <c r="F2777"/>
      <c r="G2777"/>
    </row>
    <row r="2778" spans="1:7" ht="15" customHeight="1">
      <c r="A2778"/>
      <c r="C2778"/>
      <c r="D2778"/>
      <c r="E2778"/>
      <c r="F2778"/>
      <c r="G2778"/>
    </row>
    <row r="2779" spans="1:7" ht="15" customHeight="1">
      <c r="A2779"/>
      <c r="C2779"/>
      <c r="D2779"/>
      <c r="E2779"/>
      <c r="F2779"/>
      <c r="G2779"/>
    </row>
    <row r="2780" spans="1:7" ht="15" customHeight="1">
      <c r="A2780"/>
      <c r="C2780"/>
      <c r="D2780"/>
      <c r="E2780"/>
      <c r="F2780"/>
      <c r="G2780"/>
    </row>
    <row r="2781" spans="1:7" ht="15" customHeight="1">
      <c r="A2781"/>
      <c r="C2781"/>
      <c r="D2781"/>
      <c r="E2781"/>
      <c r="F2781"/>
      <c r="G2781"/>
    </row>
    <row r="2782" spans="1:7" ht="15" customHeight="1">
      <c r="A2782"/>
      <c r="C2782"/>
      <c r="D2782"/>
      <c r="E2782"/>
      <c r="F2782"/>
      <c r="G2782"/>
    </row>
    <row r="2783" spans="1:7" ht="15" customHeight="1">
      <c r="A2783"/>
      <c r="C2783"/>
      <c r="D2783"/>
      <c r="E2783"/>
      <c r="F2783"/>
      <c r="G2783"/>
    </row>
    <row r="2784" spans="1:7" ht="15" customHeight="1">
      <c r="A2784"/>
      <c r="C2784"/>
      <c r="D2784"/>
      <c r="E2784"/>
      <c r="F2784"/>
      <c r="G2784"/>
    </row>
    <row r="2785" spans="1:7" ht="15" customHeight="1">
      <c r="A2785"/>
      <c r="C2785"/>
      <c r="D2785"/>
      <c r="E2785"/>
      <c r="F2785"/>
      <c r="G2785"/>
    </row>
    <row r="2786" spans="1:7" ht="15" customHeight="1">
      <c r="A2786"/>
      <c r="C2786"/>
      <c r="D2786"/>
      <c r="E2786"/>
      <c r="F2786"/>
      <c r="G2786"/>
    </row>
    <row r="2787" spans="1:7" ht="15" customHeight="1">
      <c r="A2787"/>
      <c r="C2787"/>
      <c r="D2787"/>
      <c r="E2787"/>
      <c r="F2787"/>
      <c r="G2787"/>
    </row>
    <row r="2788" spans="1:7" ht="15" customHeight="1">
      <c r="A2788"/>
      <c r="C2788"/>
      <c r="D2788"/>
      <c r="E2788"/>
      <c r="F2788"/>
      <c r="G2788"/>
    </row>
    <row r="2789" spans="1:7" ht="15" customHeight="1">
      <c r="A2789"/>
      <c r="C2789"/>
      <c r="D2789"/>
      <c r="E2789"/>
      <c r="F2789"/>
      <c r="G2789"/>
    </row>
    <row r="2790" spans="1:7" ht="15" customHeight="1">
      <c r="A2790"/>
      <c r="C2790"/>
      <c r="D2790"/>
      <c r="E2790"/>
      <c r="F2790"/>
      <c r="G2790"/>
    </row>
    <row r="2791" spans="1:7" ht="15" customHeight="1">
      <c r="A2791"/>
      <c r="C2791"/>
      <c r="D2791"/>
      <c r="E2791"/>
      <c r="F2791"/>
      <c r="G2791"/>
    </row>
    <row r="2792" spans="1:7" ht="15" customHeight="1">
      <c r="A2792"/>
      <c r="C2792"/>
      <c r="D2792"/>
      <c r="E2792"/>
      <c r="F2792"/>
      <c r="G2792"/>
    </row>
    <row r="2793" spans="1:7" ht="15" customHeight="1">
      <c r="A2793"/>
      <c r="C2793"/>
      <c r="D2793"/>
      <c r="E2793"/>
      <c r="F2793"/>
      <c r="G2793"/>
    </row>
    <row r="2794" spans="1:7" ht="15" customHeight="1">
      <c r="A2794"/>
      <c r="C2794"/>
      <c r="D2794"/>
      <c r="E2794"/>
      <c r="F2794"/>
      <c r="G2794"/>
    </row>
    <row r="2795" spans="1:7" ht="15" customHeight="1">
      <c r="A2795"/>
      <c r="C2795"/>
      <c r="D2795"/>
      <c r="E2795"/>
      <c r="F2795"/>
      <c r="G2795"/>
    </row>
    <row r="2796" spans="1:7" ht="15" customHeight="1">
      <c r="A2796"/>
      <c r="C2796"/>
      <c r="D2796"/>
      <c r="E2796"/>
      <c r="F2796"/>
      <c r="G2796"/>
    </row>
    <row r="2797" spans="1:7" ht="15" customHeight="1">
      <c r="A2797"/>
      <c r="C2797"/>
      <c r="D2797"/>
      <c r="E2797"/>
      <c r="F2797"/>
      <c r="G2797"/>
    </row>
    <row r="2798" spans="1:7" ht="15" customHeight="1">
      <c r="A2798"/>
      <c r="C2798"/>
      <c r="D2798"/>
      <c r="E2798"/>
      <c r="F2798"/>
      <c r="G2798"/>
    </row>
    <row r="2799" spans="1:7" ht="15" customHeight="1">
      <c r="A2799"/>
      <c r="C2799"/>
      <c r="D2799"/>
      <c r="E2799"/>
      <c r="F2799"/>
      <c r="G2799"/>
    </row>
    <row r="2800" spans="1:7" ht="15" customHeight="1">
      <c r="A2800"/>
      <c r="C2800"/>
      <c r="D2800"/>
      <c r="E2800"/>
      <c r="F2800"/>
      <c r="G2800"/>
    </row>
    <row r="2801" spans="1:7" ht="15" customHeight="1">
      <c r="A2801"/>
      <c r="C2801"/>
      <c r="D2801"/>
      <c r="E2801"/>
      <c r="F2801"/>
      <c r="G2801"/>
    </row>
    <row r="2802" spans="1:7" ht="15" customHeight="1">
      <c r="A2802"/>
      <c r="C2802"/>
      <c r="D2802"/>
      <c r="E2802"/>
      <c r="F2802"/>
      <c r="G2802"/>
    </row>
    <row r="2803" spans="1:7" ht="15" customHeight="1">
      <c r="A2803"/>
      <c r="C2803"/>
      <c r="D2803"/>
      <c r="E2803"/>
      <c r="F2803"/>
      <c r="G2803"/>
    </row>
    <row r="2804" spans="1:7" ht="15" customHeight="1">
      <c r="A2804"/>
      <c r="C2804"/>
      <c r="D2804"/>
      <c r="E2804"/>
      <c r="F2804"/>
      <c r="G2804"/>
    </row>
    <row r="2805" spans="1:7" ht="15" customHeight="1">
      <c r="A2805"/>
      <c r="C2805"/>
      <c r="D2805"/>
      <c r="E2805"/>
      <c r="F2805"/>
      <c r="G2805"/>
    </row>
    <row r="2806" spans="1:7" ht="15" customHeight="1">
      <c r="A2806"/>
      <c r="C2806"/>
      <c r="D2806"/>
      <c r="E2806"/>
      <c r="F2806"/>
      <c r="G2806"/>
    </row>
    <row r="2807" spans="1:7" ht="15" customHeight="1">
      <c r="A2807"/>
      <c r="C2807"/>
      <c r="D2807"/>
      <c r="E2807"/>
      <c r="F2807"/>
      <c r="G2807"/>
    </row>
    <row r="2808" spans="1:7" ht="15" customHeight="1">
      <c r="A2808"/>
      <c r="C2808"/>
      <c r="D2808"/>
      <c r="E2808"/>
      <c r="F2808"/>
      <c r="G2808"/>
    </row>
    <row r="2809" spans="1:7" ht="15" customHeight="1">
      <c r="A2809"/>
      <c r="C2809"/>
      <c r="D2809"/>
      <c r="E2809"/>
      <c r="F2809"/>
      <c r="G2809"/>
    </row>
    <row r="2810" spans="1:7" ht="15" customHeight="1">
      <c r="A2810"/>
      <c r="C2810"/>
      <c r="D2810"/>
      <c r="E2810"/>
      <c r="F2810"/>
      <c r="G2810"/>
    </row>
    <row r="2811" spans="1:7" ht="15" customHeight="1">
      <c r="A2811"/>
      <c r="C2811"/>
      <c r="D2811"/>
      <c r="E2811"/>
      <c r="F2811"/>
      <c r="G2811"/>
    </row>
    <row r="2812" spans="1:7" ht="15" customHeight="1">
      <c r="A2812"/>
      <c r="C2812"/>
      <c r="D2812"/>
      <c r="E2812"/>
      <c r="F2812"/>
      <c r="G2812"/>
    </row>
    <row r="2813" spans="1:7" ht="15" customHeight="1">
      <c r="A2813"/>
      <c r="C2813"/>
      <c r="D2813"/>
      <c r="E2813"/>
      <c r="F2813"/>
      <c r="G2813"/>
    </row>
    <row r="2814" spans="1:7" ht="15" customHeight="1">
      <c r="A2814"/>
      <c r="C2814"/>
      <c r="D2814"/>
      <c r="E2814"/>
      <c r="F2814"/>
      <c r="G2814"/>
    </row>
    <row r="2815" spans="1:7" ht="15" customHeight="1">
      <c r="A2815"/>
      <c r="C2815"/>
      <c r="D2815"/>
      <c r="E2815"/>
      <c r="F2815"/>
      <c r="G2815"/>
    </row>
    <row r="2816" spans="1:7" ht="15" customHeight="1">
      <c r="A2816"/>
      <c r="C2816"/>
      <c r="D2816"/>
      <c r="E2816"/>
      <c r="F2816"/>
      <c r="G2816"/>
    </row>
    <row r="2817" spans="1:7" ht="15" customHeight="1">
      <c r="A2817"/>
      <c r="C2817"/>
      <c r="D2817"/>
      <c r="E2817"/>
      <c r="F2817"/>
      <c r="G2817"/>
    </row>
    <row r="2818" spans="1:7" ht="15" customHeight="1">
      <c r="A2818"/>
      <c r="C2818"/>
      <c r="D2818"/>
      <c r="E2818"/>
      <c r="F2818"/>
      <c r="G2818"/>
    </row>
    <row r="2819" spans="1:7" ht="15" customHeight="1">
      <c r="A2819"/>
      <c r="C2819"/>
      <c r="D2819"/>
      <c r="E2819"/>
      <c r="F2819"/>
      <c r="G2819"/>
    </row>
    <row r="2820" spans="1:7" ht="15" customHeight="1">
      <c r="A2820"/>
      <c r="C2820"/>
      <c r="D2820"/>
      <c r="E2820"/>
      <c r="F2820"/>
      <c r="G2820"/>
    </row>
    <row r="2821" spans="1:7" ht="15" customHeight="1">
      <c r="A2821"/>
      <c r="C2821"/>
      <c r="D2821"/>
      <c r="E2821"/>
      <c r="F2821"/>
      <c r="G2821"/>
    </row>
    <row r="2822" spans="1:7" ht="15" customHeight="1">
      <c r="A2822"/>
      <c r="C2822"/>
      <c r="D2822"/>
      <c r="E2822"/>
      <c r="F2822"/>
      <c r="G2822"/>
    </row>
    <row r="2823" spans="1:7" ht="15" customHeight="1">
      <c r="A2823"/>
      <c r="C2823"/>
      <c r="D2823"/>
      <c r="E2823"/>
      <c r="F2823"/>
      <c r="G2823"/>
    </row>
    <row r="2824" spans="1:7" ht="15" customHeight="1">
      <c r="A2824"/>
      <c r="C2824"/>
      <c r="D2824"/>
      <c r="E2824"/>
      <c r="F2824"/>
      <c r="G2824"/>
    </row>
    <row r="2825" spans="1:7" ht="15" customHeight="1">
      <c r="A2825"/>
      <c r="C2825"/>
      <c r="D2825"/>
      <c r="E2825"/>
      <c r="F2825"/>
      <c r="G2825"/>
    </row>
    <row r="2826" spans="1:7" ht="15" customHeight="1">
      <c r="A2826"/>
      <c r="C2826"/>
      <c r="D2826"/>
      <c r="E2826"/>
      <c r="F2826"/>
      <c r="G2826"/>
    </row>
    <row r="2827" spans="1:7" ht="15" customHeight="1">
      <c r="A2827"/>
      <c r="C2827"/>
      <c r="D2827"/>
      <c r="E2827"/>
      <c r="F2827"/>
      <c r="G2827"/>
    </row>
    <row r="2828" spans="1:7" ht="15" customHeight="1">
      <c r="A2828"/>
      <c r="C2828"/>
      <c r="D2828"/>
      <c r="E2828"/>
      <c r="F2828"/>
      <c r="G2828"/>
    </row>
    <row r="2829" spans="1:7" ht="15" customHeight="1">
      <c r="A2829"/>
      <c r="C2829"/>
      <c r="D2829"/>
      <c r="E2829"/>
      <c r="F2829"/>
      <c r="G2829"/>
    </row>
    <row r="2830" spans="1:7" ht="15" customHeight="1">
      <c r="A2830"/>
      <c r="C2830"/>
      <c r="D2830"/>
      <c r="E2830"/>
      <c r="F2830"/>
      <c r="G2830"/>
    </row>
    <row r="2831" spans="1:7" ht="15" customHeight="1">
      <c r="A2831"/>
      <c r="C2831"/>
      <c r="D2831"/>
      <c r="E2831"/>
      <c r="F2831"/>
      <c r="G2831"/>
    </row>
    <row r="2832" spans="1:7" ht="15" customHeight="1">
      <c r="A2832"/>
      <c r="C2832"/>
      <c r="D2832"/>
      <c r="E2832"/>
      <c r="F2832"/>
      <c r="G2832"/>
    </row>
    <row r="2833" spans="1:7" ht="15" customHeight="1">
      <c r="A2833"/>
      <c r="C2833"/>
      <c r="D2833"/>
      <c r="E2833"/>
      <c r="F2833"/>
      <c r="G2833"/>
    </row>
    <row r="2834" spans="1:7" ht="15" customHeight="1">
      <c r="A2834"/>
      <c r="C2834"/>
      <c r="D2834"/>
      <c r="E2834"/>
      <c r="F2834"/>
      <c r="G2834"/>
    </row>
    <row r="2835" spans="1:7" ht="15" customHeight="1">
      <c r="A2835"/>
      <c r="C2835"/>
      <c r="D2835"/>
      <c r="E2835"/>
      <c r="F2835"/>
      <c r="G2835"/>
    </row>
    <row r="2836" spans="1:7" ht="15" customHeight="1">
      <c r="A2836"/>
      <c r="C2836"/>
      <c r="D2836"/>
      <c r="E2836"/>
      <c r="F2836"/>
      <c r="G2836"/>
    </row>
    <row r="2837" spans="1:7" ht="15" customHeight="1">
      <c r="A2837"/>
      <c r="C2837"/>
      <c r="D2837"/>
      <c r="E2837"/>
      <c r="F2837"/>
      <c r="G2837"/>
    </row>
    <row r="2838" spans="1:7" ht="15" customHeight="1">
      <c r="A2838"/>
      <c r="C2838"/>
      <c r="D2838"/>
      <c r="E2838"/>
      <c r="F2838"/>
      <c r="G2838"/>
    </row>
    <row r="2839" spans="1:7" ht="15" customHeight="1">
      <c r="A2839"/>
      <c r="C2839"/>
      <c r="D2839"/>
      <c r="E2839"/>
      <c r="F2839"/>
      <c r="G2839"/>
    </row>
    <row r="2840" spans="1:7" ht="15" customHeight="1">
      <c r="A2840"/>
      <c r="C2840"/>
      <c r="D2840"/>
      <c r="E2840"/>
      <c r="F2840"/>
      <c r="G2840"/>
    </row>
    <row r="2841" spans="1:7" ht="15" customHeight="1">
      <c r="A2841"/>
      <c r="C2841"/>
      <c r="D2841"/>
      <c r="E2841"/>
      <c r="F2841"/>
      <c r="G2841"/>
    </row>
    <row r="2842" spans="1:7" ht="15" customHeight="1">
      <c r="A2842"/>
      <c r="C2842"/>
      <c r="D2842"/>
      <c r="E2842"/>
      <c r="F2842"/>
      <c r="G2842"/>
    </row>
    <row r="2843" spans="1:7" ht="15" customHeight="1">
      <c r="A2843"/>
      <c r="C2843"/>
      <c r="D2843"/>
      <c r="E2843"/>
      <c r="F2843"/>
      <c r="G2843"/>
    </row>
    <row r="2844" spans="1:7" ht="15" customHeight="1">
      <c r="A2844"/>
      <c r="C2844"/>
      <c r="D2844"/>
      <c r="E2844"/>
      <c r="F2844"/>
      <c r="G2844"/>
    </row>
    <row r="2845" spans="1:7" ht="15" customHeight="1">
      <c r="A2845"/>
      <c r="C2845"/>
      <c r="D2845"/>
      <c r="E2845"/>
      <c r="F2845"/>
      <c r="G2845"/>
    </row>
    <row r="2846" spans="1:7" ht="15" customHeight="1">
      <c r="A2846"/>
      <c r="C2846"/>
      <c r="D2846"/>
      <c r="E2846"/>
      <c r="F2846"/>
      <c r="G2846"/>
    </row>
    <row r="2847" spans="1:7" ht="15" customHeight="1">
      <c r="A2847"/>
      <c r="C2847"/>
      <c r="D2847"/>
      <c r="E2847"/>
      <c r="F2847"/>
      <c r="G2847"/>
    </row>
    <row r="2848" spans="1:7" ht="15" customHeight="1">
      <c r="A2848"/>
      <c r="C2848"/>
      <c r="D2848"/>
      <c r="E2848"/>
      <c r="F2848"/>
      <c r="G2848"/>
    </row>
    <row r="2849" spans="1:7" ht="15" customHeight="1">
      <c r="A2849"/>
      <c r="C2849"/>
      <c r="D2849"/>
      <c r="E2849"/>
      <c r="F2849"/>
      <c r="G2849"/>
    </row>
    <row r="2850" spans="1:7" ht="15" customHeight="1">
      <c r="A2850"/>
      <c r="C2850"/>
      <c r="D2850"/>
      <c r="E2850"/>
      <c r="F2850"/>
      <c r="G2850"/>
    </row>
    <row r="2851" spans="1:7" ht="15" customHeight="1">
      <c r="A2851"/>
      <c r="C2851"/>
      <c r="D2851"/>
      <c r="E2851"/>
      <c r="F2851"/>
      <c r="G2851"/>
    </row>
    <row r="2852" spans="1:7" ht="15" customHeight="1">
      <c r="A2852"/>
      <c r="C2852"/>
      <c r="D2852"/>
      <c r="E2852"/>
      <c r="F2852"/>
      <c r="G2852"/>
    </row>
    <row r="2853" spans="1:7" ht="15" customHeight="1">
      <c r="A2853"/>
      <c r="C2853"/>
      <c r="D2853"/>
      <c r="E2853"/>
      <c r="F2853"/>
      <c r="G2853"/>
    </row>
    <row r="2854" spans="1:7" ht="15" customHeight="1">
      <c r="A2854"/>
      <c r="C2854"/>
      <c r="D2854"/>
      <c r="E2854"/>
      <c r="F2854"/>
      <c r="G2854"/>
    </row>
    <row r="2855" spans="1:7" ht="15" customHeight="1">
      <c r="A2855"/>
      <c r="C2855"/>
      <c r="D2855"/>
      <c r="E2855"/>
      <c r="F2855"/>
      <c r="G2855"/>
    </row>
    <row r="2856" spans="1:7" ht="15" customHeight="1">
      <c r="A2856"/>
      <c r="C2856"/>
      <c r="D2856"/>
      <c r="E2856"/>
      <c r="F2856"/>
      <c r="G2856"/>
    </row>
    <row r="2857" spans="1:7" ht="15" customHeight="1">
      <c r="A2857"/>
      <c r="C2857"/>
      <c r="D2857"/>
      <c r="E2857"/>
      <c r="F2857"/>
      <c r="G2857"/>
    </row>
    <row r="2858" spans="1:7" ht="15" customHeight="1">
      <c r="A2858"/>
      <c r="C2858"/>
      <c r="D2858"/>
      <c r="E2858"/>
      <c r="F2858"/>
      <c r="G2858"/>
    </row>
    <row r="2859" spans="1:7" ht="15" customHeight="1">
      <c r="A2859"/>
      <c r="C2859"/>
      <c r="D2859"/>
      <c r="E2859"/>
      <c r="F2859"/>
      <c r="G2859"/>
    </row>
    <row r="2860" spans="1:7" ht="15" customHeight="1">
      <c r="A2860"/>
      <c r="C2860"/>
      <c r="D2860"/>
      <c r="E2860"/>
      <c r="F2860"/>
      <c r="G2860"/>
    </row>
    <row r="2861" spans="1:7" ht="15" customHeight="1">
      <c r="A2861"/>
      <c r="C2861"/>
      <c r="D2861"/>
      <c r="E2861"/>
      <c r="F2861"/>
      <c r="G2861"/>
    </row>
    <row r="2862" spans="1:7" ht="15" customHeight="1">
      <c r="A2862"/>
      <c r="C2862"/>
      <c r="D2862"/>
      <c r="E2862"/>
      <c r="F2862"/>
      <c r="G2862"/>
    </row>
    <row r="2863" spans="1:7" ht="15" customHeight="1">
      <c r="A2863"/>
      <c r="C2863"/>
      <c r="D2863"/>
      <c r="E2863"/>
      <c r="F2863"/>
      <c r="G2863"/>
    </row>
    <row r="2864" spans="1:7" ht="15" customHeight="1">
      <c r="A2864"/>
      <c r="C2864"/>
      <c r="D2864"/>
      <c r="E2864"/>
      <c r="F2864"/>
      <c r="G2864"/>
    </row>
    <row r="2865" spans="1:7" ht="15" customHeight="1">
      <c r="A2865"/>
      <c r="C2865"/>
      <c r="D2865"/>
      <c r="E2865"/>
      <c r="F2865"/>
      <c r="G2865"/>
    </row>
    <row r="2866" spans="1:7" ht="15" customHeight="1">
      <c r="A2866"/>
      <c r="C2866"/>
      <c r="D2866"/>
      <c r="E2866"/>
      <c r="F2866"/>
      <c r="G2866"/>
    </row>
    <row r="2867" spans="1:7" ht="15" customHeight="1">
      <c r="A2867"/>
      <c r="C2867"/>
      <c r="D2867"/>
      <c r="E2867"/>
      <c r="F2867"/>
      <c r="G2867"/>
    </row>
    <row r="2868" spans="1:7" ht="15" customHeight="1">
      <c r="A2868"/>
      <c r="C2868"/>
      <c r="D2868"/>
      <c r="E2868"/>
      <c r="F2868"/>
      <c r="G2868"/>
    </row>
    <row r="2869" spans="1:7" ht="15" customHeight="1">
      <c r="A2869"/>
      <c r="C2869"/>
      <c r="D2869"/>
      <c r="E2869"/>
      <c r="F2869"/>
      <c r="G2869"/>
    </row>
    <row r="2870" spans="1:7" ht="15" customHeight="1">
      <c r="A2870"/>
      <c r="C2870"/>
      <c r="D2870"/>
      <c r="E2870"/>
      <c r="F2870"/>
      <c r="G2870"/>
    </row>
    <row r="2871" spans="1:7" ht="15" customHeight="1">
      <c r="A2871"/>
      <c r="C2871"/>
      <c r="D2871"/>
      <c r="E2871"/>
      <c r="F2871"/>
      <c r="G2871"/>
    </row>
    <row r="2872" spans="1:7" ht="15" customHeight="1">
      <c r="A2872"/>
      <c r="C2872"/>
      <c r="D2872"/>
      <c r="E2872"/>
      <c r="F2872"/>
      <c r="G2872"/>
    </row>
    <row r="2873" spans="1:7" ht="15" customHeight="1">
      <c r="A2873"/>
      <c r="C2873"/>
      <c r="D2873"/>
      <c r="E2873"/>
      <c r="F2873"/>
      <c r="G2873"/>
    </row>
    <row r="2874" spans="1:7" ht="15" customHeight="1">
      <c r="A2874"/>
      <c r="C2874"/>
      <c r="D2874"/>
      <c r="E2874"/>
      <c r="F2874"/>
      <c r="G2874"/>
    </row>
    <row r="2875" spans="1:7" ht="15" customHeight="1">
      <c r="A2875"/>
      <c r="C2875"/>
      <c r="D2875"/>
      <c r="E2875"/>
      <c r="F2875"/>
      <c r="G2875"/>
    </row>
    <row r="2876" spans="1:7" ht="15" customHeight="1">
      <c r="A2876"/>
      <c r="C2876"/>
      <c r="D2876"/>
      <c r="E2876"/>
      <c r="F2876"/>
      <c r="G2876"/>
    </row>
    <row r="2877" spans="1:7" ht="15" customHeight="1">
      <c r="A2877"/>
      <c r="C2877"/>
      <c r="D2877"/>
      <c r="E2877"/>
      <c r="F2877"/>
      <c r="G2877"/>
    </row>
    <row r="2878" spans="1:7" ht="15" customHeight="1">
      <c r="A2878"/>
      <c r="C2878"/>
      <c r="D2878"/>
      <c r="E2878"/>
      <c r="F2878"/>
      <c r="G2878"/>
    </row>
    <row r="2879" spans="1:7" ht="15" customHeight="1">
      <c r="A2879"/>
      <c r="C2879"/>
      <c r="D2879"/>
      <c r="E2879"/>
      <c r="F2879"/>
      <c r="G2879"/>
    </row>
    <row r="2880" spans="1:7" ht="15" customHeight="1">
      <c r="A2880"/>
      <c r="C2880"/>
      <c r="D2880"/>
      <c r="E2880"/>
      <c r="F2880"/>
      <c r="G2880"/>
    </row>
    <row r="2881" spans="1:7" ht="15" customHeight="1">
      <c r="A2881"/>
      <c r="C2881"/>
      <c r="D2881"/>
      <c r="E2881"/>
      <c r="F2881"/>
      <c r="G2881"/>
    </row>
    <row r="2882" spans="1:7" ht="15" customHeight="1">
      <c r="A2882"/>
      <c r="C2882"/>
      <c r="D2882"/>
      <c r="E2882"/>
      <c r="F2882"/>
      <c r="G2882"/>
    </row>
    <row r="2883" spans="1:7" ht="15" customHeight="1">
      <c r="A2883"/>
      <c r="C2883"/>
      <c r="D2883"/>
      <c r="E2883"/>
      <c r="F2883"/>
      <c r="G2883"/>
    </row>
    <row r="2884" spans="1:7" ht="15" customHeight="1">
      <c r="A2884"/>
      <c r="C2884"/>
      <c r="D2884"/>
      <c r="E2884"/>
      <c r="F2884"/>
      <c r="G2884"/>
    </row>
    <row r="2885" spans="1:7" ht="15" customHeight="1">
      <c r="A2885"/>
      <c r="C2885"/>
      <c r="D2885"/>
      <c r="E2885"/>
      <c r="F2885"/>
      <c r="G2885"/>
    </row>
    <row r="2886" spans="1:7" ht="15" customHeight="1">
      <c r="A2886"/>
      <c r="C2886"/>
      <c r="D2886"/>
      <c r="E2886"/>
      <c r="F2886"/>
      <c r="G2886"/>
    </row>
    <row r="2887" spans="1:7" ht="15" customHeight="1">
      <c r="A2887"/>
      <c r="C2887"/>
      <c r="D2887"/>
      <c r="E2887"/>
      <c r="F2887"/>
      <c r="G2887"/>
    </row>
    <row r="2888" spans="1:7" ht="15" customHeight="1">
      <c r="A2888"/>
      <c r="C2888"/>
      <c r="D2888"/>
      <c r="E2888"/>
      <c r="F2888"/>
      <c r="G2888"/>
    </row>
    <row r="2889" spans="1:7" ht="15" customHeight="1">
      <c r="A2889"/>
      <c r="C2889"/>
      <c r="D2889"/>
      <c r="E2889"/>
      <c r="F2889"/>
      <c r="G2889"/>
    </row>
    <row r="2890" spans="1:7" ht="15" customHeight="1">
      <c r="A2890"/>
      <c r="C2890"/>
      <c r="D2890"/>
      <c r="E2890"/>
      <c r="F2890"/>
      <c r="G2890"/>
    </row>
    <row r="2891" spans="1:7" ht="15" customHeight="1">
      <c r="A2891"/>
      <c r="C2891"/>
      <c r="D2891"/>
      <c r="E2891"/>
      <c r="F2891"/>
      <c r="G2891"/>
    </row>
    <row r="2892" spans="1:7" ht="15" customHeight="1">
      <c r="A2892"/>
      <c r="C2892"/>
      <c r="D2892"/>
      <c r="E2892"/>
      <c r="F2892"/>
      <c r="G2892"/>
    </row>
    <row r="2893" spans="1:7" ht="15" customHeight="1">
      <c r="A2893"/>
      <c r="C2893"/>
      <c r="D2893"/>
      <c r="E2893"/>
      <c r="F2893"/>
      <c r="G2893"/>
    </row>
    <row r="2894" spans="1:7" ht="15" customHeight="1">
      <c r="A2894"/>
      <c r="C2894"/>
      <c r="D2894"/>
      <c r="E2894"/>
      <c r="F2894"/>
      <c r="G2894"/>
    </row>
    <row r="2895" spans="1:7" ht="15" customHeight="1">
      <c r="A2895"/>
      <c r="C2895"/>
      <c r="D2895"/>
      <c r="E2895"/>
      <c r="F2895"/>
      <c r="G2895"/>
    </row>
    <row r="2896" spans="1:7" ht="15" customHeight="1">
      <c r="A2896"/>
      <c r="C2896"/>
      <c r="D2896"/>
      <c r="E2896"/>
      <c r="F2896"/>
      <c r="G2896"/>
    </row>
    <row r="2897" spans="1:7" ht="15" customHeight="1">
      <c r="A2897"/>
      <c r="C2897"/>
      <c r="D2897"/>
      <c r="E2897"/>
      <c r="F2897"/>
      <c r="G2897"/>
    </row>
    <row r="2898" spans="1:7" ht="15" customHeight="1">
      <c r="A2898"/>
      <c r="C2898"/>
      <c r="D2898"/>
      <c r="E2898"/>
      <c r="F2898"/>
      <c r="G2898"/>
    </row>
    <row r="2899" spans="1:7" ht="15" customHeight="1">
      <c r="A2899"/>
      <c r="C2899"/>
      <c r="D2899"/>
      <c r="E2899"/>
      <c r="F2899"/>
      <c r="G2899"/>
    </row>
    <row r="2900" spans="1:7" ht="15" customHeight="1">
      <c r="A2900"/>
      <c r="C2900"/>
      <c r="D2900"/>
      <c r="E2900"/>
      <c r="F2900"/>
      <c r="G2900"/>
    </row>
    <row r="2901" spans="1:7" ht="15" customHeight="1">
      <c r="A2901"/>
      <c r="C2901"/>
      <c r="D2901"/>
      <c r="E2901"/>
      <c r="F2901"/>
      <c r="G2901"/>
    </row>
    <row r="2902" spans="1:7" ht="15" customHeight="1">
      <c r="A2902"/>
      <c r="C2902"/>
      <c r="D2902"/>
      <c r="E2902"/>
      <c r="F2902"/>
      <c r="G2902"/>
    </row>
    <row r="2903" spans="1:7" ht="15" customHeight="1">
      <c r="A2903"/>
      <c r="C2903"/>
      <c r="D2903"/>
      <c r="E2903"/>
      <c r="F2903"/>
      <c r="G2903"/>
    </row>
    <row r="2904" spans="1:7" ht="15" customHeight="1">
      <c r="A2904"/>
      <c r="C2904"/>
      <c r="D2904"/>
      <c r="E2904"/>
      <c r="F2904"/>
      <c r="G2904"/>
    </row>
    <row r="2905" spans="1:7" ht="15" customHeight="1">
      <c r="A2905"/>
      <c r="C2905"/>
      <c r="D2905"/>
      <c r="E2905"/>
      <c r="F2905"/>
      <c r="G2905"/>
    </row>
    <row r="2906" spans="1:7" ht="15" customHeight="1">
      <c r="A2906"/>
      <c r="C2906"/>
      <c r="D2906"/>
      <c r="E2906"/>
      <c r="F2906"/>
      <c r="G2906"/>
    </row>
    <row r="2907" spans="1:7" ht="15" customHeight="1">
      <c r="A2907"/>
      <c r="C2907"/>
      <c r="D2907"/>
      <c r="E2907"/>
      <c r="F2907"/>
      <c r="G2907"/>
    </row>
    <row r="2908" spans="1:7" ht="15" customHeight="1">
      <c r="A2908"/>
      <c r="C2908"/>
      <c r="D2908"/>
      <c r="E2908"/>
      <c r="F2908"/>
      <c r="G2908"/>
    </row>
    <row r="2909" spans="1:7" ht="15" customHeight="1">
      <c r="A2909"/>
      <c r="C2909"/>
      <c r="D2909"/>
      <c r="E2909"/>
      <c r="F2909"/>
      <c r="G2909"/>
    </row>
    <row r="2910" spans="1:7" ht="15" customHeight="1">
      <c r="A2910"/>
      <c r="C2910"/>
      <c r="D2910"/>
      <c r="E2910"/>
      <c r="F2910"/>
      <c r="G2910"/>
    </row>
    <row r="2911" spans="1:7" ht="15" customHeight="1">
      <c r="A2911"/>
      <c r="C2911"/>
      <c r="D2911"/>
      <c r="E2911"/>
      <c r="F2911"/>
      <c r="G2911"/>
    </row>
    <row r="2912" spans="1:7" ht="15" customHeight="1">
      <c r="A2912"/>
      <c r="C2912"/>
      <c r="D2912"/>
      <c r="E2912"/>
      <c r="F2912"/>
      <c r="G2912"/>
    </row>
    <row r="2913" spans="1:7" ht="15" customHeight="1">
      <c r="A2913"/>
      <c r="C2913"/>
      <c r="D2913"/>
      <c r="E2913"/>
      <c r="F2913"/>
      <c r="G2913"/>
    </row>
    <row r="2914" spans="1:7" ht="15" customHeight="1">
      <c r="A2914"/>
      <c r="C2914"/>
      <c r="D2914"/>
      <c r="E2914"/>
      <c r="F2914"/>
      <c r="G2914"/>
    </row>
    <row r="2915" spans="1:7" ht="15" customHeight="1">
      <c r="A2915"/>
      <c r="C2915"/>
      <c r="D2915"/>
      <c r="E2915"/>
      <c r="F2915"/>
      <c r="G2915"/>
    </row>
    <row r="2916" spans="1:7" ht="15" customHeight="1">
      <c r="A2916"/>
      <c r="C2916"/>
      <c r="D2916"/>
      <c r="E2916"/>
      <c r="F2916"/>
      <c r="G2916"/>
    </row>
    <row r="2917" spans="1:7" ht="15" customHeight="1">
      <c r="A2917"/>
      <c r="C2917"/>
      <c r="D2917"/>
      <c r="E2917"/>
      <c r="F2917"/>
      <c r="G2917"/>
    </row>
    <row r="2918" spans="1:7" ht="15" customHeight="1">
      <c r="A2918"/>
      <c r="C2918"/>
      <c r="D2918"/>
      <c r="E2918"/>
      <c r="F2918"/>
      <c r="G2918"/>
    </row>
    <row r="2919" spans="1:7" ht="15" customHeight="1">
      <c r="A2919"/>
      <c r="C2919"/>
      <c r="D2919"/>
      <c r="E2919"/>
      <c r="F2919"/>
      <c r="G2919"/>
    </row>
    <row r="2920" spans="1:7" ht="15" customHeight="1">
      <c r="A2920"/>
      <c r="C2920"/>
      <c r="D2920"/>
      <c r="E2920"/>
      <c r="F2920"/>
      <c r="G2920"/>
    </row>
    <row r="2921" spans="1:7" ht="15" customHeight="1">
      <c r="A2921"/>
      <c r="C2921"/>
      <c r="D2921"/>
      <c r="E2921"/>
      <c r="F2921"/>
      <c r="G2921"/>
    </row>
    <row r="2922" spans="1:7" ht="15" customHeight="1">
      <c r="A2922"/>
      <c r="C2922"/>
      <c r="D2922"/>
      <c r="E2922"/>
      <c r="F2922"/>
      <c r="G2922"/>
    </row>
    <row r="2923" spans="1:7" ht="15" customHeight="1">
      <c r="A2923"/>
      <c r="C2923"/>
      <c r="D2923"/>
      <c r="E2923"/>
      <c r="F2923"/>
      <c r="G2923"/>
    </row>
    <row r="2924" spans="1:7" ht="15" customHeight="1">
      <c r="A2924"/>
      <c r="C2924"/>
      <c r="D2924"/>
      <c r="E2924"/>
      <c r="F2924"/>
      <c r="G2924"/>
    </row>
    <row r="2925" spans="1:7" ht="15" customHeight="1">
      <c r="A2925"/>
      <c r="C2925"/>
      <c r="D2925"/>
      <c r="E2925"/>
      <c r="F2925"/>
      <c r="G2925"/>
    </row>
    <row r="2926" spans="1:7" ht="15" customHeight="1">
      <c r="A2926"/>
      <c r="C2926"/>
      <c r="D2926"/>
      <c r="E2926"/>
      <c r="F2926"/>
      <c r="G2926"/>
    </row>
    <row r="2927" spans="1:7" ht="15" customHeight="1">
      <c r="A2927"/>
      <c r="C2927"/>
      <c r="D2927"/>
      <c r="E2927"/>
      <c r="F2927"/>
      <c r="G2927"/>
    </row>
    <row r="2928" spans="1:7" ht="15" customHeight="1">
      <c r="A2928"/>
      <c r="C2928"/>
      <c r="D2928"/>
      <c r="E2928"/>
      <c r="F2928"/>
      <c r="G2928"/>
    </row>
    <row r="2929" spans="1:7" ht="15" customHeight="1">
      <c r="A2929"/>
      <c r="C2929"/>
      <c r="D2929"/>
      <c r="E2929"/>
      <c r="F2929"/>
      <c r="G2929"/>
    </row>
    <row r="2930" spans="1:7" ht="15" customHeight="1">
      <c r="A2930"/>
      <c r="C2930"/>
      <c r="D2930"/>
      <c r="E2930"/>
      <c r="F2930"/>
      <c r="G2930"/>
    </row>
    <row r="2931" spans="1:7" ht="15" customHeight="1">
      <c r="A2931"/>
      <c r="C2931"/>
      <c r="D2931"/>
      <c r="E2931"/>
      <c r="F2931"/>
      <c r="G2931"/>
    </row>
    <row r="2932" spans="1:7" ht="15" customHeight="1">
      <c r="A2932"/>
      <c r="C2932"/>
      <c r="D2932"/>
      <c r="E2932"/>
      <c r="F2932"/>
      <c r="G2932"/>
    </row>
    <row r="2933" spans="1:7" ht="15" customHeight="1">
      <c r="A2933"/>
      <c r="C2933"/>
      <c r="D2933"/>
      <c r="E2933"/>
      <c r="F2933"/>
      <c r="G2933"/>
    </row>
    <row r="2934" spans="1:7" ht="15" customHeight="1">
      <c r="A2934"/>
      <c r="C2934"/>
      <c r="D2934"/>
      <c r="E2934"/>
      <c r="F2934"/>
      <c r="G2934"/>
    </row>
    <row r="2935" spans="1:7" ht="15" customHeight="1">
      <c r="A2935"/>
      <c r="C2935"/>
      <c r="D2935"/>
      <c r="E2935"/>
      <c r="F2935"/>
      <c r="G2935"/>
    </row>
    <row r="2936" spans="1:7" ht="15" customHeight="1">
      <c r="A2936"/>
      <c r="C2936"/>
      <c r="D2936"/>
      <c r="E2936"/>
      <c r="F2936"/>
      <c r="G2936"/>
    </row>
    <row r="2937" spans="1:7" ht="15" customHeight="1">
      <c r="A2937"/>
      <c r="C2937"/>
      <c r="D2937"/>
      <c r="E2937"/>
      <c r="F2937"/>
      <c r="G2937"/>
    </row>
    <row r="2938" spans="1:7" ht="15" customHeight="1">
      <c r="A2938"/>
      <c r="C2938"/>
      <c r="D2938"/>
      <c r="E2938"/>
      <c r="F2938"/>
      <c r="G2938"/>
    </row>
    <row r="2939" spans="1:7" ht="15" customHeight="1">
      <c r="A2939"/>
      <c r="C2939"/>
      <c r="D2939"/>
      <c r="E2939"/>
      <c r="F2939"/>
      <c r="G2939"/>
    </row>
    <row r="2940" spans="1:7" ht="15" customHeight="1">
      <c r="A2940"/>
      <c r="C2940"/>
      <c r="D2940"/>
      <c r="E2940"/>
      <c r="F2940"/>
      <c r="G2940"/>
    </row>
    <row r="2941" spans="1:7" ht="15" customHeight="1">
      <c r="A2941"/>
      <c r="C2941"/>
      <c r="D2941"/>
      <c r="E2941"/>
      <c r="F2941"/>
      <c r="G2941"/>
    </row>
    <row r="2942" spans="1:7" ht="15" customHeight="1">
      <c r="A2942"/>
      <c r="C2942"/>
      <c r="D2942"/>
      <c r="E2942"/>
      <c r="F2942"/>
      <c r="G2942"/>
    </row>
    <row r="2943" spans="1:7" ht="15" customHeight="1">
      <c r="A2943"/>
      <c r="C2943"/>
      <c r="D2943"/>
      <c r="E2943"/>
      <c r="F2943"/>
      <c r="G2943"/>
    </row>
    <row r="2944" spans="1:7" ht="15" customHeight="1">
      <c r="A2944"/>
      <c r="C2944"/>
      <c r="D2944"/>
      <c r="E2944"/>
      <c r="F2944"/>
      <c r="G2944"/>
    </row>
    <row r="2945" spans="1:7" ht="15" customHeight="1">
      <c r="A2945"/>
      <c r="C2945"/>
      <c r="D2945"/>
      <c r="E2945"/>
      <c r="F2945"/>
      <c r="G2945"/>
    </row>
    <row r="2946" spans="1:7" ht="15" customHeight="1">
      <c r="A2946"/>
      <c r="C2946"/>
      <c r="D2946"/>
      <c r="E2946"/>
      <c r="F2946"/>
      <c r="G2946"/>
    </row>
    <row r="2947" spans="1:7" ht="15" customHeight="1">
      <c r="A2947"/>
      <c r="C2947"/>
      <c r="D2947"/>
      <c r="E2947"/>
      <c r="F2947"/>
      <c r="G2947"/>
    </row>
    <row r="2948" spans="1:7" ht="15" customHeight="1">
      <c r="A2948"/>
      <c r="C2948"/>
      <c r="D2948"/>
      <c r="E2948"/>
      <c r="F2948"/>
      <c r="G2948"/>
    </row>
    <row r="2949" spans="1:7" ht="15" customHeight="1">
      <c r="A2949"/>
      <c r="C2949"/>
      <c r="D2949"/>
      <c r="E2949"/>
      <c r="F2949"/>
      <c r="G2949"/>
    </row>
    <row r="2950" spans="1:7" ht="15" customHeight="1">
      <c r="A2950"/>
      <c r="C2950"/>
      <c r="D2950"/>
      <c r="E2950"/>
      <c r="F2950"/>
      <c r="G2950"/>
    </row>
    <row r="2951" spans="1:7" ht="15" customHeight="1">
      <c r="A2951"/>
      <c r="C2951"/>
      <c r="D2951"/>
      <c r="E2951"/>
      <c r="F2951"/>
      <c r="G2951"/>
    </row>
    <row r="2952" spans="1:7" ht="15" customHeight="1">
      <c r="A2952"/>
      <c r="C2952"/>
      <c r="D2952"/>
      <c r="E2952"/>
      <c r="F2952"/>
      <c r="G2952"/>
    </row>
    <row r="2953" spans="1:7" ht="15" customHeight="1">
      <c r="A2953"/>
      <c r="C2953"/>
      <c r="D2953"/>
      <c r="E2953"/>
      <c r="F2953"/>
      <c r="G2953"/>
    </row>
    <row r="2954" spans="1:7" ht="15" customHeight="1">
      <c r="A2954"/>
      <c r="C2954"/>
      <c r="D2954"/>
      <c r="E2954"/>
      <c r="F2954"/>
      <c r="G2954"/>
    </row>
    <row r="2955" spans="1:7" ht="15" customHeight="1">
      <c r="A2955"/>
      <c r="C2955"/>
      <c r="D2955"/>
      <c r="E2955"/>
      <c r="F2955"/>
      <c r="G2955"/>
    </row>
    <row r="2956" spans="1:7" ht="15" customHeight="1">
      <c r="A2956"/>
      <c r="C2956"/>
      <c r="D2956"/>
      <c r="E2956"/>
      <c r="F2956"/>
      <c r="G2956"/>
    </row>
    <row r="2957" spans="1:7" ht="15" customHeight="1">
      <c r="A2957"/>
      <c r="C2957"/>
      <c r="D2957"/>
      <c r="E2957"/>
      <c r="F2957"/>
      <c r="G2957"/>
    </row>
    <row r="2958" spans="1:7" ht="15" customHeight="1">
      <c r="A2958"/>
      <c r="C2958"/>
      <c r="D2958"/>
      <c r="E2958"/>
      <c r="F2958"/>
      <c r="G2958"/>
    </row>
    <row r="2959" spans="1:7" ht="15" customHeight="1">
      <c r="A2959"/>
      <c r="C2959"/>
      <c r="D2959"/>
      <c r="E2959"/>
      <c r="F2959"/>
      <c r="G2959"/>
    </row>
    <row r="2960" spans="1:7" ht="15" customHeight="1">
      <c r="A2960"/>
      <c r="C2960"/>
      <c r="D2960"/>
      <c r="E2960"/>
      <c r="F2960"/>
      <c r="G2960"/>
    </row>
    <row r="2961" spans="1:7" ht="15" customHeight="1">
      <c r="A2961"/>
      <c r="C2961"/>
      <c r="D2961"/>
      <c r="E2961"/>
      <c r="F2961"/>
      <c r="G2961"/>
    </row>
    <row r="2962" spans="1:7" ht="15" customHeight="1">
      <c r="A2962"/>
      <c r="C2962"/>
      <c r="D2962"/>
      <c r="E2962"/>
      <c r="F2962"/>
      <c r="G2962"/>
    </row>
    <row r="2963" spans="1:7" ht="15" customHeight="1">
      <c r="A2963"/>
      <c r="C2963"/>
      <c r="D2963"/>
      <c r="E2963"/>
      <c r="F2963"/>
      <c r="G2963"/>
    </row>
    <row r="2964" spans="1:7" ht="15" customHeight="1">
      <c r="A2964"/>
      <c r="C2964"/>
      <c r="D2964"/>
      <c r="E2964"/>
      <c r="F2964"/>
      <c r="G2964"/>
    </row>
    <row r="2965" spans="1:7" ht="15" customHeight="1">
      <c r="A2965"/>
      <c r="C2965"/>
      <c r="D2965"/>
      <c r="E2965"/>
      <c r="F2965"/>
      <c r="G2965"/>
    </row>
    <row r="2966" spans="1:7" ht="15" customHeight="1">
      <c r="A2966"/>
      <c r="C2966"/>
      <c r="D2966"/>
      <c r="E2966"/>
      <c r="F2966"/>
      <c r="G2966"/>
    </row>
    <row r="2967" spans="1:7" ht="15" customHeight="1">
      <c r="A2967"/>
      <c r="C2967"/>
      <c r="D2967"/>
      <c r="E2967"/>
      <c r="F2967"/>
      <c r="G2967"/>
    </row>
    <row r="2968" spans="1:7" ht="15" customHeight="1">
      <c r="A2968"/>
      <c r="C2968"/>
      <c r="D2968"/>
      <c r="E2968"/>
      <c r="F2968"/>
      <c r="G2968"/>
    </row>
    <row r="2969" spans="1:7" ht="15" customHeight="1">
      <c r="A2969"/>
      <c r="C2969"/>
      <c r="D2969"/>
      <c r="E2969"/>
      <c r="F2969"/>
      <c r="G2969"/>
    </row>
    <row r="2970" spans="1:7" ht="15" customHeight="1">
      <c r="A2970"/>
      <c r="C2970"/>
      <c r="D2970"/>
      <c r="E2970"/>
      <c r="F2970"/>
      <c r="G2970"/>
    </row>
    <row r="2971" spans="1:7" ht="15" customHeight="1">
      <c r="A2971"/>
      <c r="C2971"/>
      <c r="D2971"/>
      <c r="E2971"/>
      <c r="F2971"/>
      <c r="G2971"/>
    </row>
    <row r="2972" spans="1:7" ht="15" customHeight="1">
      <c r="A2972"/>
      <c r="C2972"/>
      <c r="D2972"/>
      <c r="E2972"/>
      <c r="F2972"/>
      <c r="G2972"/>
    </row>
    <row r="2973" spans="1:7" ht="15" customHeight="1">
      <c r="A2973"/>
      <c r="C2973"/>
      <c r="D2973"/>
      <c r="E2973"/>
      <c r="F2973"/>
      <c r="G2973"/>
    </row>
    <row r="2974" spans="1:7" ht="15" customHeight="1">
      <c r="A2974"/>
      <c r="C2974"/>
      <c r="D2974"/>
      <c r="E2974"/>
      <c r="F2974"/>
      <c r="G2974"/>
    </row>
    <row r="2975" spans="1:7" ht="15" customHeight="1">
      <c r="A2975"/>
      <c r="C2975"/>
      <c r="D2975"/>
      <c r="E2975"/>
      <c r="F2975"/>
      <c r="G2975"/>
    </row>
    <row r="2976" spans="1:7" ht="15" customHeight="1">
      <c r="A2976"/>
      <c r="C2976"/>
      <c r="D2976"/>
      <c r="E2976"/>
      <c r="F2976"/>
      <c r="G2976"/>
    </row>
    <row r="2977" spans="1:7" ht="15" customHeight="1">
      <c r="A2977"/>
      <c r="C2977"/>
      <c r="D2977"/>
      <c r="E2977"/>
      <c r="F2977"/>
      <c r="G2977"/>
    </row>
    <row r="2978" spans="1:7" ht="15" customHeight="1">
      <c r="A2978"/>
      <c r="C2978"/>
      <c r="D2978"/>
      <c r="E2978"/>
      <c r="F2978"/>
      <c r="G2978"/>
    </row>
    <row r="2979" spans="1:7" ht="15" customHeight="1">
      <c r="A2979"/>
      <c r="C2979"/>
      <c r="D2979"/>
      <c r="E2979"/>
      <c r="F2979"/>
      <c r="G2979"/>
    </row>
    <row r="2980" spans="1:7" ht="15" customHeight="1">
      <c r="A2980"/>
      <c r="C2980"/>
      <c r="D2980"/>
      <c r="E2980"/>
      <c r="F2980"/>
      <c r="G2980"/>
    </row>
    <row r="2981" spans="1:7" ht="15" customHeight="1">
      <c r="A2981"/>
      <c r="C2981"/>
      <c r="D2981"/>
      <c r="E2981"/>
      <c r="F2981"/>
      <c r="G2981"/>
    </row>
    <row r="2982" spans="1:7" ht="15" customHeight="1">
      <c r="A2982"/>
      <c r="C2982"/>
      <c r="D2982"/>
      <c r="E2982"/>
      <c r="F2982"/>
      <c r="G2982"/>
    </row>
    <row r="2983" spans="1:7" ht="15" customHeight="1">
      <c r="A2983"/>
      <c r="C2983"/>
      <c r="D2983"/>
      <c r="E2983"/>
      <c r="F2983"/>
      <c r="G2983"/>
    </row>
    <row r="2984" spans="1:7" ht="15" customHeight="1">
      <c r="A2984"/>
      <c r="C2984"/>
      <c r="D2984"/>
      <c r="E2984"/>
      <c r="F2984"/>
      <c r="G2984"/>
    </row>
    <row r="2985" spans="1:7" ht="15" customHeight="1">
      <c r="A2985"/>
      <c r="C2985"/>
      <c r="D2985"/>
      <c r="E2985"/>
      <c r="F2985"/>
      <c r="G2985"/>
    </row>
    <row r="2986" spans="1:7" ht="15" customHeight="1">
      <c r="A2986"/>
      <c r="C2986"/>
      <c r="D2986"/>
      <c r="E2986"/>
      <c r="F2986"/>
      <c r="G2986"/>
    </row>
    <row r="2987" spans="1:7" ht="15" customHeight="1">
      <c r="A2987"/>
      <c r="C2987"/>
      <c r="D2987"/>
      <c r="E2987"/>
      <c r="F2987"/>
      <c r="G2987"/>
    </row>
    <row r="2988" spans="1:7" ht="15" customHeight="1">
      <c r="A2988"/>
      <c r="C2988"/>
      <c r="D2988"/>
      <c r="E2988"/>
      <c r="F2988"/>
      <c r="G2988"/>
    </row>
    <row r="2989" spans="1:7" ht="15" customHeight="1">
      <c r="A2989"/>
      <c r="C2989"/>
      <c r="D2989"/>
      <c r="E2989"/>
      <c r="F2989"/>
      <c r="G2989"/>
    </row>
    <row r="2990" spans="1:7" ht="15" customHeight="1">
      <c r="A2990"/>
      <c r="C2990"/>
      <c r="D2990"/>
      <c r="E2990"/>
      <c r="F2990"/>
      <c r="G2990"/>
    </row>
    <row r="2991" spans="1:7" ht="15" customHeight="1">
      <c r="A2991"/>
      <c r="C2991"/>
      <c r="D2991"/>
      <c r="E2991"/>
      <c r="F2991"/>
      <c r="G2991"/>
    </row>
    <row r="2992" spans="1:7" ht="15" customHeight="1">
      <c r="A2992"/>
      <c r="C2992"/>
      <c r="D2992"/>
      <c r="E2992"/>
      <c r="F2992"/>
      <c r="G2992"/>
    </row>
    <row r="2993" spans="1:7" ht="15" customHeight="1">
      <c r="A2993"/>
      <c r="C2993"/>
      <c r="D2993"/>
      <c r="E2993"/>
      <c r="F2993"/>
      <c r="G2993"/>
    </row>
    <row r="2994" spans="1:7" ht="15" customHeight="1">
      <c r="A2994"/>
      <c r="C2994"/>
      <c r="D2994"/>
      <c r="E2994"/>
      <c r="F2994"/>
      <c r="G2994"/>
    </row>
    <row r="2995" spans="1:7" ht="15" customHeight="1">
      <c r="A2995"/>
      <c r="C2995"/>
      <c r="D2995"/>
      <c r="E2995"/>
      <c r="F2995"/>
      <c r="G2995"/>
    </row>
    <row r="2996" spans="1:7" ht="15" customHeight="1">
      <c r="A2996"/>
      <c r="C2996"/>
      <c r="D2996"/>
      <c r="E2996"/>
      <c r="F2996"/>
      <c r="G2996"/>
    </row>
    <row r="2997" spans="1:7" ht="15" customHeight="1">
      <c r="A2997"/>
      <c r="C2997"/>
      <c r="D2997"/>
      <c r="E2997"/>
      <c r="F2997"/>
      <c r="G2997"/>
    </row>
    <row r="2998" spans="1:7" ht="15" customHeight="1">
      <c r="A2998"/>
      <c r="C2998"/>
      <c r="D2998"/>
      <c r="E2998"/>
      <c r="F2998"/>
      <c r="G2998"/>
    </row>
    <row r="2999" spans="1:7" ht="15" customHeight="1">
      <c r="A2999"/>
      <c r="C2999"/>
      <c r="D2999"/>
      <c r="E2999"/>
      <c r="F2999"/>
      <c r="G2999"/>
    </row>
    <row r="3000" spans="1:7" ht="15" customHeight="1">
      <c r="A3000"/>
      <c r="C3000"/>
      <c r="D3000"/>
      <c r="E3000"/>
      <c r="F3000"/>
      <c r="G3000"/>
    </row>
    <row r="3001" spans="1:7" ht="15" customHeight="1">
      <c r="A3001"/>
      <c r="C3001"/>
      <c r="D3001"/>
      <c r="E3001"/>
      <c r="F3001"/>
      <c r="G3001"/>
    </row>
    <row r="3002" spans="1:7" ht="15" customHeight="1">
      <c r="A3002"/>
      <c r="C3002"/>
      <c r="D3002"/>
      <c r="E3002"/>
      <c r="F3002"/>
      <c r="G3002"/>
    </row>
    <row r="3003" spans="1:7" ht="15" customHeight="1">
      <c r="A3003"/>
      <c r="C3003"/>
      <c r="D3003"/>
      <c r="E3003"/>
      <c r="F3003"/>
      <c r="G3003"/>
    </row>
    <row r="3004" spans="1:7" ht="15" customHeight="1">
      <c r="A3004"/>
      <c r="C3004"/>
      <c r="D3004"/>
      <c r="E3004"/>
      <c r="F3004"/>
      <c r="G3004"/>
    </row>
    <row r="3005" spans="1:7" ht="15" customHeight="1">
      <c r="A3005"/>
      <c r="C3005"/>
      <c r="D3005"/>
      <c r="E3005"/>
      <c r="F3005"/>
      <c r="G3005"/>
    </row>
    <row r="3006" spans="1:7" ht="15" customHeight="1">
      <c r="A3006"/>
      <c r="C3006"/>
      <c r="D3006"/>
      <c r="E3006"/>
      <c r="F3006"/>
      <c r="G3006"/>
    </row>
    <row r="3007" spans="1:7" ht="15" customHeight="1">
      <c r="A3007"/>
      <c r="C3007"/>
      <c r="D3007"/>
      <c r="E3007"/>
      <c r="F3007"/>
      <c r="G3007"/>
    </row>
    <row r="3008" spans="1:7" ht="15" customHeight="1">
      <c r="A3008"/>
      <c r="C3008"/>
      <c r="D3008"/>
      <c r="E3008"/>
      <c r="F3008"/>
      <c r="G3008"/>
    </row>
    <row r="3009" spans="1:7" ht="15" customHeight="1">
      <c r="A3009"/>
      <c r="C3009"/>
      <c r="D3009"/>
      <c r="E3009"/>
      <c r="F3009"/>
      <c r="G3009"/>
    </row>
    <row r="3010" spans="1:7" ht="15" customHeight="1">
      <c r="A3010"/>
      <c r="C3010"/>
      <c r="D3010"/>
      <c r="E3010"/>
      <c r="F3010"/>
      <c r="G3010"/>
    </row>
    <row r="3011" spans="1:7" ht="15" customHeight="1">
      <c r="A3011"/>
      <c r="C3011"/>
      <c r="D3011"/>
      <c r="E3011"/>
      <c r="F3011"/>
      <c r="G3011"/>
    </row>
    <row r="3012" spans="1:7" ht="15" customHeight="1">
      <c r="A3012"/>
      <c r="C3012"/>
      <c r="D3012"/>
      <c r="E3012"/>
      <c r="F3012"/>
      <c r="G3012"/>
    </row>
    <row r="3013" spans="1:7" ht="15" customHeight="1">
      <c r="A3013"/>
      <c r="C3013"/>
      <c r="D3013"/>
      <c r="E3013"/>
      <c r="F3013"/>
      <c r="G3013"/>
    </row>
    <row r="3014" spans="1:7" ht="15" customHeight="1">
      <c r="A3014"/>
      <c r="C3014"/>
      <c r="D3014"/>
      <c r="E3014"/>
      <c r="F3014"/>
      <c r="G3014"/>
    </row>
    <row r="3015" spans="1:7" ht="15" customHeight="1">
      <c r="A3015"/>
      <c r="C3015"/>
      <c r="D3015"/>
      <c r="E3015"/>
      <c r="F3015"/>
      <c r="G3015"/>
    </row>
    <row r="3016" spans="1:7" ht="15" customHeight="1">
      <c r="A3016"/>
      <c r="C3016"/>
      <c r="D3016"/>
      <c r="E3016"/>
      <c r="F3016"/>
      <c r="G3016"/>
    </row>
    <row r="3017" spans="1:7" ht="15" customHeight="1">
      <c r="A3017"/>
      <c r="C3017"/>
      <c r="D3017"/>
      <c r="E3017"/>
      <c r="F3017"/>
      <c r="G3017"/>
    </row>
    <row r="3018" spans="1:7" ht="15" customHeight="1">
      <c r="A3018"/>
      <c r="C3018"/>
      <c r="D3018"/>
      <c r="E3018"/>
      <c r="F3018"/>
      <c r="G3018"/>
    </row>
    <row r="3019" spans="1:7" ht="15" customHeight="1">
      <c r="A3019"/>
      <c r="C3019"/>
      <c r="D3019"/>
      <c r="E3019"/>
      <c r="F3019"/>
      <c r="G3019"/>
    </row>
    <row r="3020" spans="1:7" ht="15" customHeight="1">
      <c r="A3020"/>
      <c r="C3020"/>
      <c r="D3020"/>
      <c r="E3020"/>
      <c r="F3020"/>
      <c r="G3020"/>
    </row>
    <row r="3021" spans="1:7" ht="15" customHeight="1">
      <c r="A3021"/>
      <c r="C3021"/>
      <c r="D3021"/>
      <c r="E3021"/>
      <c r="F3021"/>
      <c r="G3021"/>
    </row>
    <row r="3022" spans="1:7" ht="15" customHeight="1">
      <c r="A3022"/>
      <c r="C3022"/>
      <c r="D3022"/>
      <c r="E3022"/>
      <c r="F3022"/>
      <c r="G3022"/>
    </row>
    <row r="3023" spans="1:7" ht="15" customHeight="1">
      <c r="A3023"/>
      <c r="C3023"/>
      <c r="D3023"/>
      <c r="E3023"/>
      <c r="F3023"/>
      <c r="G3023"/>
    </row>
    <row r="3024" spans="1:7" ht="15" customHeight="1">
      <c r="A3024"/>
      <c r="C3024"/>
      <c r="D3024"/>
      <c r="E3024"/>
      <c r="F3024"/>
      <c r="G3024"/>
    </row>
    <row r="3025" spans="1:7" ht="15" customHeight="1">
      <c r="A3025"/>
      <c r="C3025"/>
      <c r="D3025"/>
      <c r="E3025"/>
      <c r="F3025"/>
      <c r="G3025"/>
    </row>
    <row r="3026" spans="1:7" ht="15" customHeight="1">
      <c r="A3026"/>
      <c r="C3026"/>
      <c r="D3026"/>
      <c r="E3026"/>
      <c r="F3026"/>
      <c r="G3026"/>
    </row>
    <row r="3027" spans="1:7" ht="15" customHeight="1">
      <c r="A3027"/>
      <c r="C3027"/>
      <c r="D3027"/>
      <c r="E3027"/>
      <c r="F3027"/>
      <c r="G3027"/>
    </row>
    <row r="3028" spans="1:7" ht="15" customHeight="1">
      <c r="A3028"/>
      <c r="C3028"/>
      <c r="D3028"/>
      <c r="E3028"/>
      <c r="F3028"/>
      <c r="G3028"/>
    </row>
    <row r="3029" spans="1:7" ht="15" customHeight="1">
      <c r="A3029"/>
      <c r="C3029"/>
      <c r="D3029"/>
      <c r="E3029"/>
      <c r="F3029"/>
      <c r="G3029"/>
    </row>
    <row r="3030" spans="1:7" ht="15" customHeight="1">
      <c r="A3030"/>
      <c r="C3030"/>
      <c r="D3030"/>
      <c r="E3030"/>
      <c r="F3030"/>
      <c r="G3030"/>
    </row>
    <row r="3031" spans="1:7" ht="15" customHeight="1">
      <c r="A3031"/>
      <c r="C3031"/>
      <c r="D3031"/>
      <c r="E3031"/>
      <c r="F3031"/>
      <c r="G3031"/>
    </row>
    <row r="3032" spans="1:7" ht="15" customHeight="1">
      <c r="A3032"/>
      <c r="C3032"/>
      <c r="D3032"/>
      <c r="E3032"/>
      <c r="F3032"/>
      <c r="G3032"/>
    </row>
    <row r="3033" spans="1:7" ht="15" customHeight="1">
      <c r="A3033"/>
      <c r="C3033"/>
      <c r="D3033"/>
      <c r="E3033"/>
      <c r="F3033"/>
      <c r="G3033"/>
    </row>
    <row r="3034" spans="1:7" ht="15" customHeight="1">
      <c r="A3034"/>
      <c r="C3034"/>
      <c r="D3034"/>
      <c r="E3034"/>
      <c r="F3034"/>
      <c r="G3034"/>
    </row>
    <row r="3035" spans="1:7" ht="15" customHeight="1">
      <c r="A3035"/>
      <c r="C3035"/>
      <c r="D3035"/>
      <c r="E3035"/>
      <c r="F3035"/>
      <c r="G3035"/>
    </row>
  </sheetData>
  <mergeCells count="9">
    <mergeCell ref="A1:G2"/>
    <mergeCell ref="A5:A6"/>
    <mergeCell ref="B5:B6"/>
    <mergeCell ref="D5:D6"/>
    <mergeCell ref="A3:F3"/>
    <mergeCell ref="F5:F6"/>
    <mergeCell ref="G5:G6"/>
    <mergeCell ref="A4:B4"/>
    <mergeCell ref="C4:F4"/>
  </mergeCells>
  <pageMargins left="0.23622047244094491" right="0.23622047244094491" top="0.125" bottom="1.0416666666666666E-2" header="0" footer="0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G100"/>
  <sheetViews>
    <sheetView workbookViewId="0">
      <selection activeCell="B13" sqref="B13"/>
    </sheetView>
  </sheetViews>
  <sheetFormatPr defaultColWidth="14.42578125" defaultRowHeight="15" customHeight="1"/>
  <cols>
    <col min="1" max="1" width="15.7109375" customWidth="1"/>
    <col min="2" max="2" width="55.7109375" customWidth="1"/>
    <col min="3" max="6" width="8.7109375" customWidth="1"/>
    <col min="7" max="7" width="15" customWidth="1"/>
  </cols>
  <sheetData>
    <row r="1" spans="1:7">
      <c r="A1" s="36"/>
      <c r="B1" s="36"/>
      <c r="C1" s="36"/>
      <c r="D1" s="36"/>
      <c r="E1" s="36"/>
      <c r="F1" s="36"/>
      <c r="G1" s="36"/>
    </row>
    <row r="2" spans="1:7">
      <c r="A2" s="36"/>
      <c r="B2" s="36"/>
      <c r="C2" s="36"/>
      <c r="D2" s="36"/>
      <c r="E2" s="36"/>
      <c r="F2" s="36"/>
      <c r="G2" s="36"/>
    </row>
    <row r="3" spans="1:7">
      <c r="A3" s="36"/>
      <c r="B3" s="36"/>
      <c r="C3" s="36"/>
      <c r="D3" s="36"/>
      <c r="E3" s="36"/>
      <c r="F3" s="36"/>
      <c r="G3" s="36"/>
    </row>
    <row r="4" spans="1:7">
      <c r="A4" s="36"/>
      <c r="B4" s="36"/>
      <c r="C4" s="36"/>
      <c r="D4" s="36"/>
      <c r="E4" s="36"/>
      <c r="F4" s="36"/>
      <c r="G4" s="36"/>
    </row>
    <row r="5" spans="1:7">
      <c r="A5" s="36"/>
      <c r="B5" s="36"/>
      <c r="C5" s="36"/>
      <c r="D5" s="36"/>
      <c r="E5" s="36"/>
      <c r="F5" s="36"/>
      <c r="G5" s="36"/>
    </row>
    <row r="6" spans="1:7">
      <c r="A6" s="36"/>
      <c r="B6" s="36"/>
      <c r="C6" s="36"/>
      <c r="D6" s="36"/>
      <c r="E6" s="36"/>
      <c r="F6" s="36"/>
      <c r="G6" s="36"/>
    </row>
    <row r="7" spans="1:7">
      <c r="A7" s="36"/>
      <c r="B7" s="36"/>
      <c r="C7" s="36"/>
      <c r="D7" s="36"/>
      <c r="E7" s="36"/>
      <c r="F7" s="36"/>
      <c r="G7" s="36"/>
    </row>
    <row r="8" spans="1:7">
      <c r="A8" s="36"/>
      <c r="B8" s="36"/>
      <c r="C8" s="36"/>
      <c r="D8" s="36"/>
      <c r="E8" s="36"/>
      <c r="F8" s="36"/>
      <c r="G8" s="36"/>
    </row>
    <row r="9" spans="1:7">
      <c r="A9" s="36"/>
      <c r="B9" s="36"/>
      <c r="C9" s="36"/>
      <c r="D9" s="36"/>
      <c r="E9" s="36"/>
      <c r="F9" s="36"/>
      <c r="G9" s="36"/>
    </row>
    <row r="10" spans="1:7">
      <c r="A10" s="36"/>
      <c r="B10" s="36"/>
      <c r="C10" s="36"/>
      <c r="D10" s="36"/>
      <c r="E10" s="36"/>
      <c r="F10" s="36"/>
      <c r="G10" s="36"/>
    </row>
    <row r="11" spans="1:7">
      <c r="A11" s="2"/>
    </row>
    <row r="12" spans="1:7">
      <c r="A12" s="2"/>
    </row>
    <row r="13" spans="1:7">
      <c r="A13" s="2"/>
    </row>
    <row r="14" spans="1:7">
      <c r="A14" s="2"/>
    </row>
    <row r="15" spans="1:7">
      <c r="A15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1:G10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"/>
  <sheetViews>
    <sheetView workbookViewId="0"/>
  </sheetViews>
  <sheetFormatPr defaultColWidth="14.42578125" defaultRowHeight="15" customHeight="1"/>
  <cols>
    <col min="1" max="2" width="45.7109375" customWidth="1"/>
    <col min="3" max="6" width="8.7109375" customWidth="1"/>
  </cols>
  <sheetData>
    <row r="1" spans="1:2">
      <c r="A1" s="37" t="s">
        <v>0</v>
      </c>
      <c r="B1" s="3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 Доришунос</vt:lpstr>
      <vt:lpstr>Наш Реквизиты</vt:lpstr>
      <vt:lpstr>Ожидаемые поступления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Apple-32</cp:lastModifiedBy>
  <cp:lastPrinted>2021-05-24T04:30:56Z</cp:lastPrinted>
  <dcterms:created xsi:type="dcterms:W3CDTF">2020-11-25T04:20:34Z</dcterms:created>
  <dcterms:modified xsi:type="dcterms:W3CDTF">2022-11-30T16:46:09Z</dcterms:modified>
</cp:coreProperties>
</file>